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55" windowHeight="9060" activeTab="9"/>
  </bookViews>
  <sheets>
    <sheet name="2007" sheetId="1" r:id="rId1"/>
    <sheet name="2008" sheetId="4" r:id="rId2"/>
    <sheet name="2009" sheetId="5" r:id="rId3"/>
    <sheet name="2010" sheetId="6" r:id="rId4"/>
    <sheet name="2011" sheetId="7" r:id="rId5"/>
    <sheet name="2012" sheetId="8" r:id="rId6"/>
    <sheet name="2013" sheetId="9" r:id="rId7"/>
    <sheet name="2014" sheetId="10" r:id="rId8"/>
    <sheet name="2015" sheetId="11" r:id="rId9"/>
    <sheet name="2016" sheetId="1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0">'2007'!$A$1:$G$118</definedName>
    <definedName name="_xlnm.Print_Area" localSheetId="1">'2008'!$A$1:$G$118</definedName>
    <definedName name="_xlnm.Print_Area" localSheetId="2">'2009'!$A$1:$G$118</definedName>
    <definedName name="_xlnm.Print_Area" localSheetId="3">'2010'!$A$1:$G$101</definedName>
    <definedName name="_xlnm.Print_Area" localSheetId="4">'2011'!$A$1:$G$100</definedName>
    <definedName name="_xlnm.Print_Area" localSheetId="5">'2012'!$A:$G</definedName>
    <definedName name="_xlnm.Print_Area" localSheetId="6">'2013'!$A:$G</definedName>
    <definedName name="_xlnm.Print_Area" localSheetId="7">'2014'!$A:$G</definedName>
    <definedName name="_xlnm.Print_Area" localSheetId="8">'2015'!$A:$G</definedName>
    <definedName name="_xlnm.Print_Area" localSheetId="9">'2016'!$A:$G</definedName>
  </definedNames>
  <calcPr calcId="145621"/>
</workbook>
</file>

<file path=xl/calcChain.xml><?xml version="1.0" encoding="utf-8"?>
<calcChain xmlns="http://schemas.openxmlformats.org/spreadsheetml/2006/main">
  <c r="M84" i="12" l="1"/>
  <c r="G78" i="12" l="1"/>
  <c r="G73" i="12"/>
  <c r="E73" i="12"/>
  <c r="E75" i="12"/>
  <c r="E74" i="12"/>
  <c r="B27" i="12"/>
  <c r="M19" i="12"/>
  <c r="E97" i="12"/>
  <c r="E96" i="12"/>
  <c r="E95" i="12"/>
  <c r="G95" i="12" s="1"/>
  <c r="F98" i="12"/>
  <c r="G97" i="12"/>
  <c r="E68" i="12"/>
  <c r="E69" i="12" s="1"/>
  <c r="J69" i="12" s="1"/>
  <c r="E86" i="12"/>
  <c r="E85" i="12"/>
  <c r="H85" i="12" s="1"/>
  <c r="E83" i="12"/>
  <c r="E82" i="12"/>
  <c r="H82" i="12" s="1"/>
  <c r="E81" i="12"/>
  <c r="H81" i="12" s="1"/>
  <c r="F17" i="12"/>
  <c r="F16" i="12"/>
  <c r="F15" i="12"/>
  <c r="F14" i="12"/>
  <c r="F12" i="12"/>
  <c r="F11" i="12"/>
  <c r="B13" i="12"/>
  <c r="I69" i="12" s="1"/>
  <c r="L3" i="12"/>
  <c r="N3" i="12" s="1"/>
  <c r="L4" i="12"/>
  <c r="O5" i="12"/>
  <c r="N4" i="12"/>
  <c r="G92" i="12"/>
  <c r="E89" i="12"/>
  <c r="G87" i="12"/>
  <c r="H84" i="12"/>
  <c r="H83" i="12"/>
  <c r="E80" i="12"/>
  <c r="G69" i="12"/>
  <c r="G66" i="12"/>
  <c r="G89" i="12" s="1"/>
  <c r="E66" i="12"/>
  <c r="M62" i="12"/>
  <c r="O61" i="12"/>
  <c r="C31" i="12"/>
  <c r="H30" i="12"/>
  <c r="G31" i="12"/>
  <c r="F27" i="12" s="1"/>
  <c r="G25" i="12"/>
  <c r="F25" i="12"/>
  <c r="C25" i="12"/>
  <c r="B25" i="12"/>
  <c r="G19" i="12"/>
  <c r="C15" i="12"/>
  <c r="G9" i="12"/>
  <c r="F9" i="12"/>
  <c r="M5" i="12"/>
  <c r="B12" i="12" s="1"/>
  <c r="E78" i="12" l="1"/>
  <c r="E98" i="12"/>
  <c r="B29" i="12" s="1"/>
  <c r="H31" i="12" s="1"/>
  <c r="E91" i="12" s="1"/>
  <c r="G96" i="12"/>
  <c r="G98" i="12" s="1"/>
  <c r="K69" i="12"/>
  <c r="N5" i="12"/>
  <c r="P5" i="12" s="1"/>
  <c r="H86" i="12"/>
  <c r="G80" i="12"/>
  <c r="L5" i="12"/>
  <c r="B11" i="12" s="1"/>
  <c r="E90" i="12"/>
  <c r="E92" i="12" s="1"/>
  <c r="B14" i="12" s="1"/>
  <c r="B15" i="12" l="1"/>
  <c r="H32" i="12"/>
  <c r="H34" i="12" s="1"/>
  <c r="B31" i="12"/>
  <c r="E87" i="12"/>
  <c r="F13" i="12" s="1"/>
  <c r="M18" i="12" s="1"/>
  <c r="M20" i="12" s="1"/>
  <c r="I18" i="12" l="1"/>
  <c r="F18" i="12" s="1"/>
  <c r="F28" i="12" s="1"/>
  <c r="F31" i="12" l="1"/>
  <c r="I32" i="12" s="1"/>
  <c r="F19" i="12"/>
  <c r="M30" i="12" l="1"/>
  <c r="H85" i="11" l="1"/>
  <c r="H77" i="11" l="1"/>
  <c r="G100" i="11"/>
  <c r="G101" i="11"/>
  <c r="G99" i="11"/>
  <c r="F102" i="11"/>
  <c r="E102" i="11"/>
  <c r="M19" i="11"/>
  <c r="E69" i="11"/>
  <c r="M84" i="11"/>
  <c r="E86" i="11"/>
  <c r="H86" i="11" s="1"/>
  <c r="E84" i="11"/>
  <c r="H84" i="11" s="1"/>
  <c r="E83" i="11"/>
  <c r="H83" i="11" s="1"/>
  <c r="E82" i="11"/>
  <c r="H82" i="11" s="1"/>
  <c r="E81" i="11"/>
  <c r="H81" i="11" s="1"/>
  <c r="B27" i="11"/>
  <c r="F16" i="11"/>
  <c r="F15" i="11"/>
  <c r="F14" i="11"/>
  <c r="F12" i="11"/>
  <c r="F11" i="11"/>
  <c r="B13" i="11"/>
  <c r="O5" i="11"/>
  <c r="L3" i="11"/>
  <c r="G102" i="11" l="1"/>
  <c r="B14" i="11" s="1"/>
  <c r="M3" i="11"/>
  <c r="F17" i="11" l="1"/>
  <c r="G94" i="11" l="1"/>
  <c r="E91" i="11"/>
  <c r="G88" i="11"/>
  <c r="E87" i="11"/>
  <c r="H87" i="11" s="1"/>
  <c r="E80" i="11"/>
  <c r="G70" i="11"/>
  <c r="E70" i="11"/>
  <c r="J70" i="11" s="1"/>
  <c r="G66" i="11"/>
  <c r="G91" i="11" s="1"/>
  <c r="E66" i="11"/>
  <c r="M62" i="11"/>
  <c r="O61" i="11"/>
  <c r="H31" i="11"/>
  <c r="E93" i="11" s="1"/>
  <c r="C31" i="11"/>
  <c r="B31" i="11"/>
  <c r="H30" i="11"/>
  <c r="E92" i="11" s="1"/>
  <c r="G30" i="11"/>
  <c r="F27" i="11" s="1"/>
  <c r="G25" i="11"/>
  <c r="F25" i="11"/>
  <c r="C25" i="11"/>
  <c r="B25" i="11"/>
  <c r="G19" i="11"/>
  <c r="C15" i="11"/>
  <c r="I70" i="11"/>
  <c r="G9" i="11"/>
  <c r="F9" i="11"/>
  <c r="L4" i="11"/>
  <c r="N4" i="11" s="1"/>
  <c r="M5" i="11"/>
  <c r="B12" i="11" s="1"/>
  <c r="N3" i="11"/>
  <c r="N5" i="11" l="1"/>
  <c r="P5" i="11" s="1"/>
  <c r="K70" i="11"/>
  <c r="M86" i="11"/>
  <c r="E94" i="11"/>
  <c r="L5" i="11"/>
  <c r="B11" i="11" s="1"/>
  <c r="H32" i="11"/>
  <c r="H34" i="11" s="1"/>
  <c r="G80" i="11"/>
  <c r="O62" i="10"/>
  <c r="B15" i="11" l="1"/>
  <c r="E88" i="11"/>
  <c r="F13" i="11" s="1"/>
  <c r="B27" i="10"/>
  <c r="M19" i="10"/>
  <c r="F17" i="10"/>
  <c r="F16" i="10"/>
  <c r="F14" i="10"/>
  <c r="H85" i="10"/>
  <c r="E86" i="10"/>
  <c r="H86" i="10" s="1"/>
  <c r="E85" i="10"/>
  <c r="M85" i="10"/>
  <c r="M84" i="10"/>
  <c r="L84" i="10"/>
  <c r="E84" i="10"/>
  <c r="E83" i="10"/>
  <c r="H83" i="10" s="1"/>
  <c r="E82" i="10"/>
  <c r="H82" i="10" s="1"/>
  <c r="E81" i="10"/>
  <c r="H81" i="10" s="1"/>
  <c r="F12" i="10"/>
  <c r="F11" i="10"/>
  <c r="H30" i="10"/>
  <c r="H32" i="10" s="1"/>
  <c r="B14" i="10" s="1"/>
  <c r="B13" i="10"/>
  <c r="I71" i="10" s="1"/>
  <c r="O5" i="10"/>
  <c r="M3" i="10"/>
  <c r="M5" i="10" s="1"/>
  <c r="B12" i="10" s="1"/>
  <c r="L3" i="10"/>
  <c r="G93" i="10"/>
  <c r="E90" i="10"/>
  <c r="G87" i="10"/>
  <c r="H84" i="10"/>
  <c r="E80" i="10"/>
  <c r="G71" i="10"/>
  <c r="E71" i="10"/>
  <c r="J71" i="10" s="1"/>
  <c r="G67" i="10"/>
  <c r="G90" i="10" s="1"/>
  <c r="E67" i="10"/>
  <c r="M63" i="10"/>
  <c r="H31" i="10"/>
  <c r="E92" i="10" s="1"/>
  <c r="C31" i="10"/>
  <c r="G30" i="10"/>
  <c r="F27" i="10" s="1"/>
  <c r="B31" i="10"/>
  <c r="G25" i="10"/>
  <c r="F25" i="10"/>
  <c r="C25" i="10"/>
  <c r="B25" i="10"/>
  <c r="G19" i="10"/>
  <c r="C15" i="10"/>
  <c r="G9" i="10"/>
  <c r="F9" i="10"/>
  <c r="N4" i="10"/>
  <c r="L4" i="10"/>
  <c r="N3" i="10"/>
  <c r="N5" i="10" s="1"/>
  <c r="I18" i="11" l="1"/>
  <c r="M18" i="11"/>
  <c r="M20" i="11" s="1"/>
  <c r="K71" i="10"/>
  <c r="E87" i="10"/>
  <c r="F13" i="10" s="1"/>
  <c r="M18" i="10" s="1"/>
  <c r="M20" i="10" s="1"/>
  <c r="P5" i="10"/>
  <c r="L5" i="10"/>
  <c r="B11" i="10" s="1"/>
  <c r="B15" i="10" s="1"/>
  <c r="I18" i="10" s="1"/>
  <c r="F18" i="10" s="1"/>
  <c r="F28" i="10" s="1"/>
  <c r="F30" i="10" s="1"/>
  <c r="I32" i="10" s="1"/>
  <c r="E91" i="10"/>
  <c r="E93" i="10" s="1"/>
  <c r="G80" i="10"/>
  <c r="M30" i="10" l="1"/>
  <c r="F19" i="10"/>
  <c r="E85" i="9" l="1"/>
  <c r="H85" i="9" s="1"/>
  <c r="E70" i="9"/>
  <c r="H30" i="9"/>
  <c r="B27" i="9"/>
  <c r="E84" i="9"/>
  <c r="H84" i="9" s="1"/>
  <c r="E83" i="9"/>
  <c r="H83" i="9" s="1"/>
  <c r="E82" i="9"/>
  <c r="H82" i="9" s="1"/>
  <c r="E81" i="9"/>
  <c r="H81" i="9" s="1"/>
  <c r="M19" i="9"/>
  <c r="F17" i="9"/>
  <c r="F16" i="9"/>
  <c r="F14" i="9"/>
  <c r="F12" i="9"/>
  <c r="F11" i="9"/>
  <c r="B13" i="9"/>
  <c r="L3" i="9"/>
  <c r="M3" i="9" l="1"/>
  <c r="G92" i="9" l="1"/>
  <c r="E89" i="9"/>
  <c r="G86" i="9"/>
  <c r="E86" i="9"/>
  <c r="F13" i="9" s="1"/>
  <c r="E80" i="9"/>
  <c r="E71" i="9"/>
  <c r="J71" i="9" s="1"/>
  <c r="G71" i="9"/>
  <c r="G67" i="9"/>
  <c r="G80" i="9" s="1"/>
  <c r="E67" i="9"/>
  <c r="M63" i="9"/>
  <c r="H31" i="9"/>
  <c r="E91" i="9" s="1"/>
  <c r="C31" i="9"/>
  <c r="E90" i="9"/>
  <c r="E92" i="9" s="1"/>
  <c r="G30" i="9"/>
  <c r="F27" i="9" s="1"/>
  <c r="B31" i="9"/>
  <c r="G25" i="9"/>
  <c r="F25" i="9"/>
  <c r="C25" i="9"/>
  <c r="B25" i="9"/>
  <c r="G19" i="9"/>
  <c r="C15" i="9"/>
  <c r="I71" i="9"/>
  <c r="G9" i="9"/>
  <c r="F9" i="9"/>
  <c r="O5" i="9"/>
  <c r="L4" i="9"/>
  <c r="N4" i="9" s="1"/>
  <c r="M5" i="9"/>
  <c r="B12" i="9" s="1"/>
  <c r="N3" i="9"/>
  <c r="N5" i="9" s="1"/>
  <c r="P5" i="9" l="1"/>
  <c r="M18" i="9"/>
  <c r="M20" i="9" s="1"/>
  <c r="K71" i="9"/>
  <c r="G89" i="9"/>
  <c r="L5" i="9"/>
  <c r="B11" i="9" s="1"/>
  <c r="H32" i="9"/>
  <c r="B14" i="9" s="1"/>
  <c r="B11" i="8"/>
  <c r="L5" i="8"/>
  <c r="L4" i="8"/>
  <c r="O5" i="8"/>
  <c r="B15" i="9" l="1"/>
  <c r="I18" i="9" s="1"/>
  <c r="F18" i="9" s="1"/>
  <c r="N4" i="8"/>
  <c r="N3" i="8"/>
  <c r="N5" i="8" s="1"/>
  <c r="M3" i="8"/>
  <c r="M5" i="8" s="1"/>
  <c r="B12" i="8" s="1"/>
  <c r="L3" i="8"/>
  <c r="P5" i="8" l="1"/>
  <c r="F28" i="9"/>
  <c r="F30" i="9" s="1"/>
  <c r="I32" i="9" s="1"/>
  <c r="F19" i="9"/>
  <c r="M19" i="8"/>
  <c r="B27" i="8"/>
  <c r="E85" i="8"/>
  <c r="E84" i="8"/>
  <c r="E83" i="8"/>
  <c r="E82" i="8"/>
  <c r="E81" i="8"/>
  <c r="F17" i="8"/>
  <c r="F16" i="8"/>
  <c r="F14" i="8"/>
  <c r="F12" i="8"/>
  <c r="F11" i="8"/>
  <c r="B13" i="8"/>
  <c r="I71" i="8" s="1"/>
  <c r="G70" i="8"/>
  <c r="G92" i="8"/>
  <c r="E89" i="8"/>
  <c r="G86" i="8"/>
  <c r="E80" i="8"/>
  <c r="G71" i="8"/>
  <c r="E71" i="8"/>
  <c r="J71" i="8" s="1"/>
  <c r="G67" i="8"/>
  <c r="G89" i="8" s="1"/>
  <c r="E67" i="8"/>
  <c r="M63" i="8"/>
  <c r="C31" i="8"/>
  <c r="H31" i="8"/>
  <c r="E91" i="8" s="1"/>
  <c r="H30" i="8"/>
  <c r="E90" i="8" s="1"/>
  <c r="E92" i="8" s="1"/>
  <c r="G30" i="8"/>
  <c r="F27" i="8"/>
  <c r="G25" i="8"/>
  <c r="F25" i="8"/>
  <c r="C25" i="8"/>
  <c r="B25" i="8"/>
  <c r="G19" i="8"/>
  <c r="C15" i="8"/>
  <c r="G9" i="8"/>
  <c r="F9" i="8"/>
  <c r="E86" i="8" l="1"/>
  <c r="F13" i="8" s="1"/>
  <c r="M18" i="8" s="1"/>
  <c r="M20" i="8" s="1"/>
  <c r="K71" i="8"/>
  <c r="B31" i="8"/>
  <c r="H32" i="8"/>
  <c r="B14" i="8" s="1"/>
  <c r="B15" i="8" s="1"/>
  <c r="I18" i="8" s="1"/>
  <c r="F18" i="8" s="1"/>
  <c r="G80" i="8"/>
  <c r="F28" i="8" l="1"/>
  <c r="F30" i="8" s="1"/>
  <c r="I32" i="8" s="1"/>
  <c r="F19" i="8"/>
  <c r="M63" i="7" l="1"/>
  <c r="F18" i="7"/>
  <c r="E85" i="7"/>
  <c r="E84" i="7"/>
  <c r="E83" i="7"/>
  <c r="E81" i="7"/>
  <c r="J71" i="7"/>
  <c r="E70" i="7"/>
  <c r="B28" i="7"/>
  <c r="B32" i="7" s="1"/>
  <c r="B27" i="7"/>
  <c r="F16" i="7"/>
  <c r="F14" i="7"/>
  <c r="F12" i="7"/>
  <c r="B12" i="7"/>
  <c r="I71" i="7"/>
  <c r="K71" i="7" s="1"/>
  <c r="B11" i="7"/>
  <c r="G92" i="7"/>
  <c r="E89" i="7"/>
  <c r="G86" i="7"/>
  <c r="E80" i="7"/>
  <c r="G71" i="7"/>
  <c r="E71" i="7"/>
  <c r="G67" i="7"/>
  <c r="G80" i="7"/>
  <c r="E67" i="7"/>
  <c r="C32" i="7"/>
  <c r="H31" i="7"/>
  <c r="E91" i="7"/>
  <c r="H30" i="7"/>
  <c r="E90" i="7"/>
  <c r="G30" i="7"/>
  <c r="F27" i="7"/>
  <c r="G25" i="7"/>
  <c r="F25" i="7"/>
  <c r="C25" i="7"/>
  <c r="B25" i="7"/>
  <c r="G20" i="7"/>
  <c r="C15" i="7"/>
  <c r="G9" i="7"/>
  <c r="F9" i="7"/>
  <c r="M20" i="6"/>
  <c r="E85" i="6"/>
  <c r="E84" i="6"/>
  <c r="E83" i="6"/>
  <c r="E82" i="6"/>
  <c r="E81" i="6"/>
  <c r="B27" i="6"/>
  <c r="F14" i="6"/>
  <c r="F12" i="6"/>
  <c r="F11" i="6"/>
  <c r="B11" i="6"/>
  <c r="B28" i="6"/>
  <c r="B12" i="6"/>
  <c r="F16" i="6"/>
  <c r="G92" i="6"/>
  <c r="E89" i="6"/>
  <c r="G86" i="6"/>
  <c r="E80" i="6"/>
  <c r="G71" i="6"/>
  <c r="E71" i="6"/>
  <c r="G67" i="6"/>
  <c r="G89" i="6"/>
  <c r="E67" i="6"/>
  <c r="C32" i="6"/>
  <c r="H31" i="6"/>
  <c r="E91" i="6"/>
  <c r="H30" i="6"/>
  <c r="G30" i="6"/>
  <c r="F27" i="6"/>
  <c r="G25" i="6"/>
  <c r="F25" i="6"/>
  <c r="C25" i="6"/>
  <c r="B25" i="6"/>
  <c r="G20" i="6"/>
  <c r="C15" i="6"/>
  <c r="G9" i="6"/>
  <c r="F9" i="6"/>
  <c r="G80" i="5"/>
  <c r="E80" i="5"/>
  <c r="H37" i="5"/>
  <c r="E103" i="5"/>
  <c r="E105" i="5"/>
  <c r="H38" i="5"/>
  <c r="H39" i="5"/>
  <c r="B16" i="5"/>
  <c r="E101" i="5"/>
  <c r="E91" i="5"/>
  <c r="E75" i="5"/>
  <c r="G75" i="5"/>
  <c r="G101" i="5"/>
  <c r="G91" i="5"/>
  <c r="G32" i="5"/>
  <c r="C32" i="5"/>
  <c r="G12" i="5"/>
  <c r="F32" i="5"/>
  <c r="F12" i="5"/>
  <c r="C18" i="5"/>
  <c r="E104" i="5"/>
  <c r="G23" i="5"/>
  <c r="B32" i="5"/>
  <c r="G37" i="5"/>
  <c r="F34" i="5"/>
  <c r="C39" i="5"/>
  <c r="G98" i="5"/>
  <c r="G105" i="5"/>
  <c r="J14" i="4"/>
  <c r="J16" i="4"/>
  <c r="M23" i="4"/>
  <c r="F19" i="4"/>
  <c r="F14" i="4"/>
  <c r="F15" i="4"/>
  <c r="E94" i="4"/>
  <c r="E95" i="4"/>
  <c r="E99" i="4"/>
  <c r="F16" i="4"/>
  <c r="E96" i="4"/>
  <c r="E97" i="4"/>
  <c r="E98" i="4"/>
  <c r="F17" i="4"/>
  <c r="H37" i="4"/>
  <c r="E104" i="4"/>
  <c r="E106" i="4"/>
  <c r="F20" i="4"/>
  <c r="H38" i="4"/>
  <c r="E105" i="4"/>
  <c r="B15" i="4"/>
  <c r="B14" i="4"/>
  <c r="B18" i="4"/>
  <c r="H38" i="1"/>
  <c r="E103" i="1"/>
  <c r="H37" i="1"/>
  <c r="E102" i="1"/>
  <c r="E104" i="1"/>
  <c r="E97" i="1"/>
  <c r="E78" i="1"/>
  <c r="E80" i="1"/>
  <c r="F19" i="1"/>
  <c r="F17" i="1"/>
  <c r="F16" i="1"/>
  <c r="F15" i="1"/>
  <c r="F23" i="1"/>
  <c r="F14" i="1"/>
  <c r="B15" i="1"/>
  <c r="B14" i="1"/>
  <c r="B36" i="1"/>
  <c r="B35" i="1"/>
  <c r="B34" i="1"/>
  <c r="B39" i="1"/>
  <c r="B18" i="1"/>
  <c r="I22" i="1"/>
  <c r="F35" i="1"/>
  <c r="G36" i="1"/>
  <c r="F34" i="1"/>
  <c r="F36" i="1"/>
  <c r="F39" i="1"/>
  <c r="G39" i="1"/>
  <c r="C39" i="1"/>
  <c r="G23" i="1"/>
  <c r="C18" i="1"/>
  <c r="B32" i="4"/>
  <c r="B36" i="4"/>
  <c r="B35" i="4"/>
  <c r="B34" i="4"/>
  <c r="B39" i="4"/>
  <c r="F12" i="4"/>
  <c r="G99" i="4"/>
  <c r="G106" i="4"/>
  <c r="G79" i="4"/>
  <c r="G81" i="4"/>
  <c r="E81" i="4"/>
  <c r="G36" i="4"/>
  <c r="F34" i="4"/>
  <c r="G39" i="4"/>
  <c r="C39" i="4"/>
  <c r="G23" i="4"/>
  <c r="C18" i="4"/>
  <c r="B15" i="5"/>
  <c r="E94" i="5"/>
  <c r="F17" i="5"/>
  <c r="E97" i="5"/>
  <c r="H32" i="6"/>
  <c r="B13" i="6"/>
  <c r="B15" i="6"/>
  <c r="F19" i="5"/>
  <c r="E96" i="5"/>
  <c r="E93" i="5"/>
  <c r="F14" i="5"/>
  <c r="B14" i="5"/>
  <c r="F15" i="5"/>
  <c r="E90" i="6"/>
  <c r="E92" i="6"/>
  <c r="G80" i="6"/>
  <c r="E86" i="6"/>
  <c r="F13" i="6"/>
  <c r="E95" i="5"/>
  <c r="M23" i="5"/>
  <c r="B35" i="5"/>
  <c r="B34" i="5"/>
  <c r="B32" i="6"/>
  <c r="G89" i="7"/>
  <c r="E92" i="7"/>
  <c r="H32" i="7"/>
  <c r="B13" i="7"/>
  <c r="B15" i="7"/>
  <c r="M19" i="6"/>
  <c r="M21" i="6"/>
  <c r="I19" i="6"/>
  <c r="F19" i="6"/>
  <c r="F28" i="6"/>
  <c r="F30" i="6"/>
  <c r="I32" i="6"/>
  <c r="I39" i="1"/>
  <c r="I22" i="4"/>
  <c r="F22" i="4"/>
  <c r="F35" i="4"/>
  <c r="F36" i="4"/>
  <c r="F39" i="4"/>
  <c r="I39" i="4"/>
  <c r="M22" i="4"/>
  <c r="M24" i="4"/>
  <c r="F23" i="4"/>
  <c r="H39" i="4"/>
  <c r="F20" i="6"/>
  <c r="F11" i="7"/>
  <c r="E82" i="7"/>
  <c r="E86" i="7" s="1"/>
  <c r="F13" i="7" s="1"/>
  <c r="M20" i="7"/>
  <c r="E98" i="5" l="1"/>
  <c r="F16" i="5" s="1"/>
  <c r="M22" i="5" s="1"/>
  <c r="M24" i="5" s="1"/>
  <c r="B18" i="5"/>
  <c r="B39" i="5"/>
  <c r="M19" i="7"/>
  <c r="M21" i="7" s="1"/>
  <c r="I19" i="7"/>
  <c r="F19" i="7" s="1"/>
  <c r="F28" i="7" s="1"/>
  <c r="F30" i="7" s="1"/>
  <c r="I32" i="7" s="1"/>
  <c r="I22" i="5" l="1"/>
  <c r="F22" i="5" s="1"/>
  <c r="F35" i="5" s="1"/>
  <c r="F37" i="5" s="1"/>
  <c r="I39" i="5" s="1"/>
  <c r="F20" i="7"/>
  <c r="F23" i="5" l="1"/>
  <c r="F18" i="11"/>
  <c r="F19" i="11" s="1"/>
  <c r="F28" i="11" l="1"/>
  <c r="F30" i="11" s="1"/>
  <c r="I32" i="11" s="1"/>
  <c r="M30" i="11" l="1"/>
</calcChain>
</file>

<file path=xl/sharedStrings.xml><?xml version="1.0" encoding="utf-8"?>
<sst xmlns="http://schemas.openxmlformats.org/spreadsheetml/2006/main" count="755" uniqueCount="202">
  <si>
    <t>STENGAARDENS GRUNDEJERFORENING</t>
  </si>
  <si>
    <t>INDTÆGTER:</t>
  </si>
  <si>
    <t>Kontingent</t>
  </si>
  <si>
    <t>Renter &amp; udbytte</t>
  </si>
  <si>
    <t>Jubilæum</t>
  </si>
  <si>
    <t>UDGIFTER:</t>
  </si>
  <si>
    <t>Bestyrelsesmøder</t>
  </si>
  <si>
    <t>Administration</t>
  </si>
  <si>
    <t>Generalforsamling</t>
  </si>
  <si>
    <t>Gebyrer</t>
  </si>
  <si>
    <t>Kursgevinst</t>
  </si>
  <si>
    <t>Renter</t>
  </si>
  <si>
    <t>Kurstab</t>
  </si>
  <si>
    <r>
      <t xml:space="preserve">Pr. 31. december 2006 i alt </t>
    </r>
    <r>
      <rPr>
        <u/>
        <sz val="10"/>
        <rFont val="Arial"/>
        <family val="2"/>
      </rPr>
      <t>535 medlemmer</t>
    </r>
    <r>
      <rPr>
        <sz val="10"/>
        <rFont val="Arial"/>
        <family val="2"/>
      </rPr>
      <t>.</t>
    </r>
  </si>
  <si>
    <t>AKTIVER:</t>
  </si>
  <si>
    <t>PASSIVER:</t>
  </si>
  <si>
    <t>Kassebeholdning</t>
  </si>
  <si>
    <t>Nordea</t>
  </si>
  <si>
    <t>Giro</t>
  </si>
  <si>
    <t>Obligationer</t>
  </si>
  <si>
    <t>Aktier</t>
  </si>
  <si>
    <t>Egenkapital, primo</t>
  </si>
  <si>
    <t>Egenkapital, ultimo</t>
  </si>
  <si>
    <t>Revisionsbemærkninger:</t>
  </si>
  <si>
    <t>Palle Glem Jørgensen, revisor</t>
  </si>
  <si>
    <t>Hanne Petersen, revisor</t>
  </si>
  <si>
    <t>Nærværende regnskab er gennemgået efter bilagene. Bank-, giro-, kasse- og fondsbeholdning er konstateret</t>
  </si>
  <si>
    <t>at være til stede.</t>
  </si>
  <si>
    <t>BALANCE PR. 31.DECEMBER 2007</t>
  </si>
  <si>
    <t>DRIFTSREGNSKAB FOR PERIODEN 01. JANUAR - 31. DECEMBER 2007</t>
  </si>
  <si>
    <t>Steen Holm Faurdal, kasserer</t>
  </si>
  <si>
    <t>Overskud</t>
  </si>
  <si>
    <t>2800 Kgs. Lyngby, den 05. februar 2008</t>
  </si>
  <si>
    <t>2800 Kgs. Lyngby den XX. februar 2007.</t>
  </si>
  <si>
    <t>Skyldige omkostn.</t>
  </si>
  <si>
    <t>kurstab/gevinst</t>
  </si>
  <si>
    <t>aktiver/passiver</t>
  </si>
  <si>
    <t>indtægter/udgifter</t>
  </si>
  <si>
    <t>Noter til regnskab 2007:</t>
  </si>
  <si>
    <t>Kontingent:</t>
  </si>
  <si>
    <t>Pr. 31. december 2007 har vi 479 medlemmer, hvor vi havde 535 medlemmer</t>
  </si>
  <si>
    <t>pr. 31. december 2006.</t>
  </si>
  <si>
    <t>I januar 2008 har 16 medlemmer betalt kontingentet for år 2007.</t>
  </si>
  <si>
    <t>Renter &amp; udbytte:</t>
  </si>
  <si>
    <t>Rente giro</t>
  </si>
  <si>
    <t>Rente Nordea</t>
  </si>
  <si>
    <t>ejernes Landsforening kr. 1.400,00.</t>
  </si>
  <si>
    <t>Administration:</t>
  </si>
  <si>
    <t>Porto</t>
  </si>
  <si>
    <t>Kontorartikler</t>
  </si>
  <si>
    <t>Telefon</t>
  </si>
  <si>
    <t>Repræsentation</t>
  </si>
  <si>
    <t>Kurstab:</t>
  </si>
  <si>
    <t>Obligationer:</t>
  </si>
  <si>
    <t>2% Danmarks Skibskreditfond 2013, nominelt kr. 110.170,00.kurs 89,028.</t>
  </si>
  <si>
    <t>Aktier:</t>
  </si>
  <si>
    <t>125 stk. Nordea Bank, nominelt kr. 125.000,00, kurs 84,08.</t>
  </si>
  <si>
    <t>Indtægter:</t>
  </si>
  <si>
    <t>Udgifter:</t>
  </si>
  <si>
    <t>Aktiver:</t>
  </si>
  <si>
    <t>Sammenslutningen af grundejerforeninger i Gladsaxe kr. 2.675,00 og Parcelhus-</t>
  </si>
  <si>
    <t>2800 Kgs. Lyngby den XX. februar 2009.</t>
  </si>
  <si>
    <t>Noter til regnskab 2008:</t>
  </si>
  <si>
    <t>pr. 31. december 2007.</t>
  </si>
  <si>
    <t>År 2008</t>
  </si>
  <si>
    <t>År 2007</t>
  </si>
  <si>
    <t>Advokat</t>
  </si>
  <si>
    <t>DRIFTSREGNSKAB FOR PERIODEN 01. JANUAR - 31. DECEMBER 2008</t>
  </si>
  <si>
    <t>2% Danmarks Skibskreditfond 2013, nominelt kr. 110.170,00.kurs 93.834</t>
  </si>
  <si>
    <t>125 stk. Nordea Bank, nominelt kr. 125.000,00, kurs 38.0624</t>
  </si>
  <si>
    <t>Sammenslutningen af grundejerforeninger i Gladsaxe kr. 2.395,00 og Parcelhus-</t>
  </si>
  <si>
    <t>udgifter iflg grundregn.</t>
  </si>
  <si>
    <t>udgifter iflg regnskab</t>
  </si>
  <si>
    <t>2800 Kgs. Lyngby, den 24. januar 2009</t>
  </si>
  <si>
    <t>Pr. 31. december 2008 har vi 509 medlemmer, hvor vi havde 479 medlemmer</t>
  </si>
  <si>
    <t>Vi har i 2008 fået 36 nye medlemmer, medens 6 medlemmer har meldt sig ud.</t>
  </si>
  <si>
    <t>BALANCE PR. 31. DECEMBER 2008</t>
  </si>
  <si>
    <t>Noter til regnskab 2009:</t>
  </si>
  <si>
    <t>Redskaber til udlån / Advokat</t>
  </si>
  <si>
    <t>DRIFTSREGNSKAB FOR PERIODEN 01. JANUAR - 31. DECEMBER 2009</t>
  </si>
  <si>
    <t>BALANCE PR. 31. DECEMBER 2009</t>
  </si>
  <si>
    <t>Sammenslutningen af grundejerforeninger i Gladsaxe kr. 2.545,00 og Parcelhus-</t>
  </si>
  <si>
    <t>Fed skrift = mangler at blive udfyldt/mangler oplysninger</t>
  </si>
  <si>
    <t>2800 Kgs. Lyngby, den 16. januar 2010</t>
  </si>
  <si>
    <t>2% Danmarks Skibskreditfond 2013, nominelt kr. 110.170,00.kurs 96.581</t>
  </si>
  <si>
    <t xml:space="preserve">2800 Kgs. Lyngby den </t>
  </si>
  <si>
    <t>pr. 31. december 2008.</t>
  </si>
  <si>
    <t>Pr. 31. december 2009 har vi 487 medlemmer, hvor vi havde 509 medlemmer</t>
  </si>
  <si>
    <t>Vi har i 2009 fået 11 nye medlemmer, medens 22 medlemmer har meldt sig ud.</t>
  </si>
  <si>
    <t>193 stk. Nordea Bank, nominelt kr. 193.000,00, kurs 53.3578.</t>
  </si>
  <si>
    <t>Kursgevinst/(tab):</t>
  </si>
  <si>
    <t>DRIFTSREGNSKAB FOR PERIODEN 01. JANUAR - 31. DECEMBER 2010</t>
  </si>
  <si>
    <t>BALANCE PR. 31. DECEMBER 2010</t>
  </si>
  <si>
    <t>193 stk. Nordea Bank, nominelt kr. 193.000,00, kurs 60.95.</t>
  </si>
  <si>
    <t>2% Danmarks Skibskreditfond 2013, nominelt kr. 110.170,00.kurs 99.449.</t>
  </si>
  <si>
    <t>2800 Kgs. Lyngby, den 15. januar 2011</t>
  </si>
  <si>
    <t>Sammenslutningen af grundejerforeninger i Gladsaxe kr. 2.460,00 og Parcelhus-</t>
  </si>
  <si>
    <t>ejernes Landsforening kr. 1.575,00.</t>
  </si>
  <si>
    <t>pr. 31. december 2009.</t>
  </si>
  <si>
    <t>Pr. 31. december 2010 har vi 490 medlemmer, hvor vi havde 492 medlemmer</t>
  </si>
  <si>
    <t>Af de 490 medlemmer er 18 indmeldt i 2010, medens 20 er ekskluderet på</t>
  </si>
  <si>
    <t>grund af manglende betaling.</t>
  </si>
  <si>
    <t>Peter Buron, revisor</t>
  </si>
  <si>
    <t>Nærværende regnskab er gennemgået efter bilagene. Bank- og fondsbeholdning er konstateret</t>
  </si>
  <si>
    <t>Noter til regnskab 2010:</t>
  </si>
  <si>
    <t>DRIFTSREGNSKAB FOR PERIODEN 01. JANUAR - 31. DECEMBER 2011</t>
  </si>
  <si>
    <t>BALANCE PR. 31. DECEMBER 2011</t>
  </si>
  <si>
    <t>Noter til regnskab 2011:</t>
  </si>
  <si>
    <t>Rente bank</t>
  </si>
  <si>
    <t>Sammenslutningen af grundejerforeninger i Gladsaxe kr. 2.435,00 og Parcelhus-</t>
  </si>
  <si>
    <t>ejernes Landsforening kr. 1.750,00.</t>
  </si>
  <si>
    <t>Redskaber til udlån</t>
  </si>
  <si>
    <t>2% Danmarks Skibskreditfond 2013, nominelt kr. 110.170,00.kurs 100.919.</t>
  </si>
  <si>
    <t>193 stk. Nordea Bank, nominelt kr. 193.000,00, kurs 44.06.</t>
  </si>
  <si>
    <t>Kursgevinst/ (tab)</t>
  </si>
  <si>
    <t>2800 Kgs. Lyngby, den 15. januar 2012</t>
  </si>
  <si>
    <t>Jesper Seeger, revisor</t>
  </si>
  <si>
    <t>Over/(underskud)</t>
  </si>
  <si>
    <t>Pr. 31. december 2011 har vi 476 medlemmer, hvor vi havde 490 medlemmer</t>
  </si>
  <si>
    <t>pr. 31. december 2010.</t>
  </si>
  <si>
    <t>Af de 476 medlemmer er 8 indmeldt i 2010, medens 22 er ekskluderet på</t>
  </si>
  <si>
    <t>DRIFTSREGNSKAB FOR PERIODEN 01. JANUAR - 31. DECEMBER 2012</t>
  </si>
  <si>
    <t>Noter til regnskab 2012:</t>
  </si>
  <si>
    <t>Sammenslutningen af grundejerforeninger i Gladsaxe kr. 2.380,00 og Parcelhus-</t>
  </si>
  <si>
    <t>ultimo</t>
  </si>
  <si>
    <t>primo</t>
  </si>
  <si>
    <t>slettet</t>
  </si>
  <si>
    <t>nye</t>
  </si>
  <si>
    <t>Pr. 31. december 2012 har vi 476 medlemmer, hvor vi havde 476 medlemmer</t>
  </si>
  <si>
    <t>pr. 31. december 2011.</t>
  </si>
  <si>
    <t>Af de 476 medlemmer er 12 indmeldt i 2012, medens 12 er ekskluderet på</t>
  </si>
  <si>
    <t>Antal medl.</t>
  </si>
  <si>
    <t>ryk. gebyr</t>
  </si>
  <si>
    <t>i alt</t>
  </si>
  <si>
    <t>bestyrelse</t>
  </si>
  <si>
    <t>grundregnskab</t>
  </si>
  <si>
    <t>diff.</t>
  </si>
  <si>
    <t>Rykkergebyr</t>
  </si>
  <si>
    <t>BALANCE PR. 31. DECEMBER 2012</t>
  </si>
  <si>
    <t>2800 Kgs. Lyngby, den 19. januar 2013</t>
  </si>
  <si>
    <t>2% Danmarks Skibskreditfond 2013, nominelt kr. 110.170,00, kurs 101.195.</t>
  </si>
  <si>
    <t>193 stk. Nordea Bank, nominelt kr. 193.000,00, kurs 54.15.</t>
  </si>
  <si>
    <r>
      <t>Kursgevinst/</t>
    </r>
    <r>
      <rPr>
        <b/>
        <sz val="11"/>
        <color rgb="FFFF0000"/>
        <rFont val="Calibri"/>
        <family val="2"/>
      </rPr>
      <t>(tab)</t>
    </r>
    <r>
      <rPr>
        <b/>
        <sz val="11"/>
        <rFont val="Calibri"/>
        <family val="2"/>
      </rPr>
      <t>:</t>
    </r>
  </si>
  <si>
    <t>2800 Kgs. Lyngby, den 19. januar 2014</t>
  </si>
  <si>
    <t>Noter til regnskab 2013:</t>
  </si>
  <si>
    <t>Pr. 31. december 2013 har vi 463 medlemmer, hvor vi havde 476 medlemmer</t>
  </si>
  <si>
    <t>pr. 31. december 2012.</t>
  </si>
  <si>
    <t>Af de 463 medlemmer er 23 indmeldt i 2013, medens 36 er ekskluderet på</t>
  </si>
  <si>
    <t>DRIFTSREGNSKAB FOR PERIODEN 01. JANUAR - 31. DECEMBER 2013</t>
  </si>
  <si>
    <t>BALANCE PR. 31. DECEMBER 2013</t>
  </si>
  <si>
    <t>stigning i %</t>
  </si>
  <si>
    <t xml:space="preserve">2800 Kgs. Lyngby, den </t>
  </si>
  <si>
    <t>fra grundregnskab</t>
  </si>
  <si>
    <t>193 stk. Nordea Bank, kurs 72,05.</t>
  </si>
  <si>
    <t>Pr. 31. december 2014 har vi 500 medlemmer, hvor vi havde 463 medlemmer</t>
  </si>
  <si>
    <t>pr. 31. december 2013.</t>
  </si>
  <si>
    <t>Af de 500 medlemmer er 56 indmeldt i 2014, medens 19 er ekskluderet på</t>
  </si>
  <si>
    <t>Vederlag</t>
  </si>
  <si>
    <t>Jubilæer mv.</t>
  </si>
  <si>
    <t>Jubilæer</t>
  </si>
  <si>
    <t>rep. trailer</t>
  </si>
  <si>
    <t>2800 Kgs. Lyngby, den 22. januar 2015</t>
  </si>
  <si>
    <t>Noter til regnskab 2014:</t>
  </si>
  <si>
    <t>Parcelhusejernes Landsforening kr. 1.750,00, WebHosting kr. 392,50.</t>
  </si>
  <si>
    <t>193 stk. Nordea Bank, kurs 71,95.</t>
  </si>
  <si>
    <t>DRIFTSREGNSKAB FOR PERIODEN 01. JANUAR - 31. DECEMBER 2014</t>
  </si>
  <si>
    <t>BALANCE PR. 31. DECEMBER 2014</t>
  </si>
  <si>
    <t>Ny hjemmeside</t>
  </si>
  <si>
    <t>Redskaber</t>
  </si>
  <si>
    <t>263 stk. Danske Bank, kurs 185,20.</t>
  </si>
  <si>
    <t>193 stk. Nordea Bank, kurs 75,80.</t>
  </si>
  <si>
    <t>131 stk. Novo Nordisk, kurs 399,90.</t>
  </si>
  <si>
    <t>køb værdipapirer</t>
  </si>
  <si>
    <t>Gevinst/(tab)</t>
  </si>
  <si>
    <t>Sammenslutningen af grf. i Gladsaxe, kr. 4.955,00. (for år 2014 og år 2015)</t>
  </si>
  <si>
    <t>Parcelhusejernes Landsforening, kr. 1.750,00, WebHosting, kr. 381,00,</t>
  </si>
  <si>
    <t>pr. 31. december 2014.</t>
  </si>
  <si>
    <t>Pr. 31. december 2015 har vi 477 medlemmer, hvor vi havde 500 medlemmer</t>
  </si>
  <si>
    <t>Af de 477 medlemmer er 9 indmeldt i 2015, medens 32 er ekskluderet på</t>
  </si>
  <si>
    <t>trailer</t>
  </si>
  <si>
    <t>vertikalskær</t>
  </si>
  <si>
    <t>DRIFTSREGNSKAB FOR PERIODEN 01. JANUAR - 31. DECEMBER 2015</t>
  </si>
  <si>
    <t>BALANCE PR. 31. DECEMBER 2015</t>
  </si>
  <si>
    <t>2800 Kongens Lyngby, den 17. januar 2016</t>
  </si>
  <si>
    <t xml:space="preserve">2800 Kongens Lyngby, den </t>
  </si>
  <si>
    <t>Peter Skou, revisor</t>
  </si>
  <si>
    <t>Noter til regnskab 2015:</t>
  </si>
  <si>
    <t>DRIFTSREGNSKAB FOR PERIODEN 01. JANUAR - 31. DECEMBER 2016</t>
  </si>
  <si>
    <t>Ny velkomstfolder</t>
  </si>
  <si>
    <t>263 stk. Danske Bank, kurs 214,20.</t>
  </si>
  <si>
    <t>131 stk. Novo Nordisk, kurs 254,70.</t>
  </si>
  <si>
    <t>193 stk. Nordea Bank, kurs 78,65.</t>
  </si>
  <si>
    <t>BALANCE PR. 31. DECEMBER 2016</t>
  </si>
  <si>
    <t>2800 Kongens Lyngby, den 15. januar 2017</t>
  </si>
  <si>
    <t>Pr. 31. december 2016 har vi 462 medlemmer, hvor vi havde 477 medlemmer</t>
  </si>
  <si>
    <t>pr. 31. december 2015.</t>
  </si>
  <si>
    <t>Af de 462 medlemmer er 8 indmeldt i 2016, medens 23 er ekskluderet på</t>
  </si>
  <si>
    <t>DK Hostmaster</t>
  </si>
  <si>
    <t>Parcelhusejernes Landsforening</t>
  </si>
  <si>
    <t>Sammenslutningen af grf. i Gladsaxe</t>
  </si>
  <si>
    <t>One.com</t>
  </si>
  <si>
    <t>Noter til regnskab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</si>
</sst>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.##0.00"/>
    <numFmt numFmtId="165" formatCode="0_);[Red]\(0\)"/>
    <numFmt numFmtId="166" formatCode="#,##0.00;[Red]\(#,##0.00\)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u/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u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u/>
      <sz val="11"/>
      <name val="Calibri"/>
      <family val="2"/>
    </font>
    <font>
      <b/>
      <i/>
      <u/>
      <sz val="1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4" fontId="0" fillId="0" borderId="0" xfId="0" applyNumberFormat="1"/>
    <xf numFmtId="4" fontId="0" fillId="0" borderId="1" xfId="0" applyNumberFormat="1" applyBorder="1"/>
    <xf numFmtId="4" fontId="2" fillId="0" borderId="0" xfId="0" applyNumberFormat="1" applyFont="1"/>
    <xf numFmtId="1" fontId="2" fillId="0" borderId="0" xfId="0" applyNumberFormat="1" applyFont="1"/>
    <xf numFmtId="4" fontId="0" fillId="0" borderId="0" xfId="0" applyNumberFormat="1" applyAlignment="1">
      <alignment horizontal="right"/>
    </xf>
    <xf numFmtId="4" fontId="4" fillId="0" borderId="0" xfId="0" applyNumberFormat="1" applyFont="1"/>
    <xf numFmtId="0" fontId="7" fillId="0" borderId="0" xfId="0" applyFont="1"/>
    <xf numFmtId="4" fontId="0" fillId="0" borderId="2" xfId="0" applyNumberFormat="1" applyBorder="1"/>
    <xf numFmtId="4" fontId="2" fillId="0" borderId="0" xfId="0" applyNumberFormat="1" applyFont="1" applyBorder="1"/>
    <xf numFmtId="4" fontId="8" fillId="0" borderId="0" xfId="0" applyNumberFormat="1" applyFont="1"/>
    <xf numFmtId="0" fontId="8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4" fontId="0" fillId="0" borderId="0" xfId="0" applyNumberFormat="1" applyBorder="1"/>
    <xf numFmtId="164" fontId="0" fillId="0" borderId="0" xfId="0" applyNumberFormat="1"/>
    <xf numFmtId="40" fontId="0" fillId="0" borderId="0" xfId="0" applyNumberFormat="1"/>
    <xf numFmtId="40" fontId="7" fillId="0" borderId="0" xfId="0" applyNumberFormat="1" applyFont="1"/>
    <xf numFmtId="40" fontId="2" fillId="0" borderId="0" xfId="0" applyNumberFormat="1" applyFont="1"/>
    <xf numFmtId="40" fontId="0" fillId="0" borderId="2" xfId="0" applyNumberFormat="1" applyBorder="1"/>
    <xf numFmtId="40" fontId="0" fillId="0" borderId="0" xfId="0" applyNumberFormat="1" applyAlignment="1">
      <alignment horizontal="right"/>
    </xf>
    <xf numFmtId="40" fontId="4" fillId="0" borderId="0" xfId="0" applyNumberFormat="1" applyFont="1"/>
    <xf numFmtId="40" fontId="8" fillId="0" borderId="0" xfId="0" applyNumberFormat="1" applyFont="1"/>
    <xf numFmtId="40" fontId="2" fillId="0" borderId="0" xfId="0" applyNumberFormat="1" applyFont="1" applyBorder="1"/>
    <xf numFmtId="40" fontId="0" fillId="0" borderId="0" xfId="0" applyNumberFormat="1" applyBorder="1"/>
    <xf numFmtId="165" fontId="2" fillId="0" borderId="0" xfId="0" applyNumberFormat="1" applyFont="1"/>
    <xf numFmtId="165" fontId="2" fillId="0" borderId="0" xfId="0" applyNumberFormat="1" applyFont="1" applyAlignment="1">
      <alignment horizontal="right"/>
    </xf>
    <xf numFmtId="40" fontId="0" fillId="2" borderId="0" xfId="0" applyNumberFormat="1" applyFill="1"/>
    <xf numFmtId="40" fontId="2" fillId="2" borderId="0" xfId="0" applyNumberFormat="1" applyFont="1" applyFill="1"/>
    <xf numFmtId="40" fontId="1" fillId="0" borderId="0" xfId="0" applyNumberFormat="1" applyFont="1"/>
    <xf numFmtId="40" fontId="6" fillId="0" borderId="0" xfId="0" applyNumberFormat="1" applyFont="1"/>
    <xf numFmtId="40" fontId="6" fillId="0" borderId="0" xfId="0" applyNumberFormat="1" applyFont="1" applyBorder="1"/>
    <xf numFmtId="40" fontId="2" fillId="0" borderId="1" xfId="0" applyNumberFormat="1" applyFont="1" applyBorder="1"/>
    <xf numFmtId="40" fontId="9" fillId="0" borderId="0" xfId="0" applyNumberFormat="1" applyFont="1"/>
    <xf numFmtId="40" fontId="10" fillId="0" borderId="0" xfId="0" applyNumberFormat="1" applyFont="1"/>
    <xf numFmtId="165" fontId="10" fillId="0" borderId="0" xfId="0" applyNumberFormat="1" applyFont="1"/>
    <xf numFmtId="40" fontId="10" fillId="0" borderId="0" xfId="0" applyNumberFormat="1" applyFont="1" applyFill="1"/>
    <xf numFmtId="40" fontId="9" fillId="0" borderId="0" xfId="0" applyNumberFormat="1" applyFont="1" applyFill="1"/>
    <xf numFmtId="40" fontId="10" fillId="0" borderId="1" xfId="0" applyNumberFormat="1" applyFont="1" applyBorder="1"/>
    <xf numFmtId="40" fontId="9" fillId="0" borderId="0" xfId="0" applyNumberFormat="1" applyFont="1" applyBorder="1"/>
    <xf numFmtId="40" fontId="9" fillId="0" borderId="0" xfId="0" applyNumberFormat="1" applyFont="1" applyAlignment="1">
      <alignment horizontal="right"/>
    </xf>
    <xf numFmtId="40" fontId="12" fillId="0" borderId="0" xfId="0" applyNumberFormat="1" applyFont="1"/>
    <xf numFmtId="40" fontId="13" fillId="0" borderId="0" xfId="0" applyNumberFormat="1" applyFont="1"/>
    <xf numFmtId="40" fontId="10" fillId="0" borderId="0" xfId="0" applyNumberFormat="1" applyFont="1" applyBorder="1"/>
    <xf numFmtId="165" fontId="10" fillId="0" borderId="0" xfId="0" applyNumberFormat="1" applyFont="1" applyAlignment="1">
      <alignment horizontal="right"/>
    </xf>
    <xf numFmtId="40" fontId="9" fillId="0" borderId="2" xfId="0" applyNumberFormat="1" applyFont="1" applyBorder="1"/>
    <xf numFmtId="166" fontId="9" fillId="0" borderId="0" xfId="0" applyNumberFormat="1" applyFont="1"/>
    <xf numFmtId="166" fontId="9" fillId="0" borderId="2" xfId="0" applyNumberFormat="1" applyFont="1" applyBorder="1"/>
    <xf numFmtId="40" fontId="14" fillId="0" borderId="0" xfId="0" applyNumberFormat="1" applyFont="1"/>
    <xf numFmtId="10" fontId="9" fillId="0" borderId="0" xfId="0" applyNumberFormat="1" applyFont="1"/>
    <xf numFmtId="166" fontId="9" fillId="0" borderId="0" xfId="0" applyNumberFormat="1" applyFont="1" applyBorder="1"/>
    <xf numFmtId="40" fontId="10" fillId="0" borderId="0" xfId="0" applyNumberFormat="1" applyFont="1" applyAlignment="1">
      <alignment horizontal="right"/>
    </xf>
    <xf numFmtId="166" fontId="9" fillId="0" borderId="3" xfId="0" applyNumberFormat="1" applyFont="1" applyBorder="1"/>
    <xf numFmtId="40" fontId="9" fillId="0" borderId="3" xfId="0" applyNumberFormat="1" applyFont="1" applyBorder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0" fontId="5" fillId="0" borderId="0" xfId="0" applyNumberFormat="1" applyFont="1" applyAlignment="1">
      <alignment horizontal="center"/>
    </xf>
    <xf numFmtId="40" fontId="1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47625</xdr:rowOff>
    </xdr:from>
    <xdr:to>
      <xdr:col>7</xdr:col>
      <xdr:colOff>0</xdr:colOff>
      <xdr:row>1</xdr:row>
      <xdr:rowOff>85725</xdr:rowOff>
    </xdr:to>
    <xdr:pic>
      <xdr:nvPicPr>
        <xdr:cNvPr id="10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47625"/>
          <a:ext cx="21526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542925</xdr:colOff>
      <xdr:row>59</xdr:row>
      <xdr:rowOff>95250</xdr:rowOff>
    </xdr:from>
    <xdr:to>
      <xdr:col>6</xdr:col>
      <xdr:colOff>809625</xdr:colOff>
      <xdr:row>60</xdr:row>
      <xdr:rowOff>133350</xdr:rowOff>
    </xdr:to>
    <xdr:pic>
      <xdr:nvPicPr>
        <xdr:cNvPr id="10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9677400"/>
          <a:ext cx="21526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47625</xdr:rowOff>
    </xdr:from>
    <xdr:to>
      <xdr:col>7</xdr:col>
      <xdr:colOff>0</xdr:colOff>
      <xdr:row>1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47625"/>
          <a:ext cx="22193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542925</xdr:colOff>
      <xdr:row>51</xdr:row>
      <xdr:rowOff>95250</xdr:rowOff>
    </xdr:from>
    <xdr:to>
      <xdr:col>6</xdr:col>
      <xdr:colOff>809625</xdr:colOff>
      <xdr:row>52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9715500"/>
          <a:ext cx="22193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47625</xdr:rowOff>
    </xdr:from>
    <xdr:to>
      <xdr:col>7</xdr:col>
      <xdr:colOff>0</xdr:colOff>
      <xdr:row>1</xdr:row>
      <xdr:rowOff>85725</xdr:rowOff>
    </xdr:to>
    <xdr:pic>
      <xdr:nvPicPr>
        <xdr:cNvPr id="2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47625"/>
          <a:ext cx="21526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542925</xdr:colOff>
      <xdr:row>59</xdr:row>
      <xdr:rowOff>95250</xdr:rowOff>
    </xdr:from>
    <xdr:to>
      <xdr:col>6</xdr:col>
      <xdr:colOff>809625</xdr:colOff>
      <xdr:row>60</xdr:row>
      <xdr:rowOff>133350</xdr:rowOff>
    </xdr:to>
    <xdr:pic>
      <xdr:nvPicPr>
        <xdr:cNvPr id="21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9677400"/>
          <a:ext cx="21526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47625</xdr:rowOff>
    </xdr:from>
    <xdr:to>
      <xdr:col>7</xdr:col>
      <xdr:colOff>0</xdr:colOff>
      <xdr:row>1</xdr:row>
      <xdr:rowOff>85725</xdr:rowOff>
    </xdr:to>
    <xdr:pic>
      <xdr:nvPicPr>
        <xdr:cNvPr id="31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47625"/>
          <a:ext cx="21526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542925</xdr:colOff>
      <xdr:row>59</xdr:row>
      <xdr:rowOff>95250</xdr:rowOff>
    </xdr:from>
    <xdr:to>
      <xdr:col>6</xdr:col>
      <xdr:colOff>809625</xdr:colOff>
      <xdr:row>60</xdr:row>
      <xdr:rowOff>133350</xdr:rowOff>
    </xdr:to>
    <xdr:pic>
      <xdr:nvPicPr>
        <xdr:cNvPr id="31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9677400"/>
          <a:ext cx="21526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47625</xdr:rowOff>
    </xdr:from>
    <xdr:to>
      <xdr:col>7</xdr:col>
      <xdr:colOff>0</xdr:colOff>
      <xdr:row>1</xdr:row>
      <xdr:rowOff>85725</xdr:rowOff>
    </xdr:to>
    <xdr:pic>
      <xdr:nvPicPr>
        <xdr:cNvPr id="41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47625"/>
          <a:ext cx="2152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542925</xdr:colOff>
      <xdr:row>51</xdr:row>
      <xdr:rowOff>95250</xdr:rowOff>
    </xdr:from>
    <xdr:to>
      <xdr:col>6</xdr:col>
      <xdr:colOff>809625</xdr:colOff>
      <xdr:row>52</xdr:row>
      <xdr:rowOff>133350</xdr:rowOff>
    </xdr:to>
    <xdr:pic>
      <xdr:nvPicPr>
        <xdr:cNvPr id="41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9715500"/>
          <a:ext cx="2152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47625</xdr:rowOff>
    </xdr:from>
    <xdr:to>
      <xdr:col>7</xdr:col>
      <xdr:colOff>0</xdr:colOff>
      <xdr:row>1</xdr:row>
      <xdr:rowOff>85725</xdr:rowOff>
    </xdr:to>
    <xdr:pic>
      <xdr:nvPicPr>
        <xdr:cNvPr id="51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47625"/>
          <a:ext cx="2152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542925</xdr:colOff>
      <xdr:row>51</xdr:row>
      <xdr:rowOff>95250</xdr:rowOff>
    </xdr:from>
    <xdr:to>
      <xdr:col>6</xdr:col>
      <xdr:colOff>809625</xdr:colOff>
      <xdr:row>52</xdr:row>
      <xdr:rowOff>133350</xdr:rowOff>
    </xdr:to>
    <xdr:pic>
      <xdr:nvPicPr>
        <xdr:cNvPr id="51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9715500"/>
          <a:ext cx="2152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47625</xdr:rowOff>
    </xdr:from>
    <xdr:to>
      <xdr:col>7</xdr:col>
      <xdr:colOff>0</xdr:colOff>
      <xdr:row>1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47625"/>
          <a:ext cx="2152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542925</xdr:colOff>
      <xdr:row>51</xdr:row>
      <xdr:rowOff>95250</xdr:rowOff>
    </xdr:from>
    <xdr:to>
      <xdr:col>6</xdr:col>
      <xdr:colOff>809625</xdr:colOff>
      <xdr:row>52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9715500"/>
          <a:ext cx="2152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47625</xdr:rowOff>
    </xdr:from>
    <xdr:to>
      <xdr:col>7</xdr:col>
      <xdr:colOff>0</xdr:colOff>
      <xdr:row>1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47625"/>
          <a:ext cx="2152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542925</xdr:colOff>
      <xdr:row>51</xdr:row>
      <xdr:rowOff>95250</xdr:rowOff>
    </xdr:from>
    <xdr:to>
      <xdr:col>6</xdr:col>
      <xdr:colOff>809625</xdr:colOff>
      <xdr:row>52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9715500"/>
          <a:ext cx="2152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47625</xdr:rowOff>
    </xdr:from>
    <xdr:to>
      <xdr:col>7</xdr:col>
      <xdr:colOff>0</xdr:colOff>
      <xdr:row>1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47625"/>
          <a:ext cx="22193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542925</xdr:colOff>
      <xdr:row>51</xdr:row>
      <xdr:rowOff>95250</xdr:rowOff>
    </xdr:from>
    <xdr:to>
      <xdr:col>6</xdr:col>
      <xdr:colOff>809625</xdr:colOff>
      <xdr:row>52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9715500"/>
          <a:ext cx="22193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47625</xdr:rowOff>
    </xdr:from>
    <xdr:to>
      <xdr:col>7</xdr:col>
      <xdr:colOff>0</xdr:colOff>
      <xdr:row>1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47625"/>
          <a:ext cx="22193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542925</xdr:colOff>
      <xdr:row>51</xdr:row>
      <xdr:rowOff>95250</xdr:rowOff>
    </xdr:from>
    <xdr:to>
      <xdr:col>6</xdr:col>
      <xdr:colOff>809625</xdr:colOff>
      <xdr:row>52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9715500"/>
          <a:ext cx="22193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eng&#229;rden\Dokumenter\2007\grundregn20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ngaarden\Desktop\Steng&#229;rdens%20grundejerforening\2014\Medlemsliste%20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ngaarden\Desktop\Steng&#229;rdens%20grundejerforening\2015\Medlemsliste%20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ngaarden\Desktop\Steng&#229;rdens%20grundejerforening\2015\grundregn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grundregn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eng&#229;rden\Dokumenter\2009\grundregn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ngaarden\Desktop\Steng&#229;rdens%20grundejerforening\2011\grundregn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ngaarden\Desktop\Steng&#229;rdens%20grundejerforening\2011\grundregn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ngaarden\Desktop\Steng&#229;rdens%20grundejerforening\2011\grundregn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ngaarden\Desktop\Steng&#229;rdens%20grundejerforening\2012\Medlemsliste%20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ngaarden\Desktop\Steng&#229;rdens%20grundejerforening\2012\grundregn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ngaarden\Desktop\Steng&#229;rdens%20grundejerforening\2013\Medlemsliste%20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ngaarden\Desktop\Steng&#229;rdens%20grundejerforening\2015\grundregn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</sheetNames>
    <sheetDataSet>
      <sheetData sheetId="0">
        <row r="122">
          <cell r="E122">
            <v>13.050000000000182</v>
          </cell>
          <cell r="F122">
            <v>22279.910000000003</v>
          </cell>
          <cell r="G122">
            <v>18075.02</v>
          </cell>
          <cell r="H122">
            <v>34206</v>
          </cell>
          <cell r="J122">
            <v>2896.53</v>
          </cell>
          <cell r="K122">
            <v>8965</v>
          </cell>
          <cell r="L122">
            <v>5098</v>
          </cell>
          <cell r="M122">
            <v>2611.19</v>
          </cell>
          <cell r="O122">
            <v>4075</v>
          </cell>
          <cell r="P122">
            <v>6601</v>
          </cell>
          <cell r="R122">
            <v>386.5</v>
          </cell>
          <cell r="S122">
            <v>6600</v>
          </cell>
          <cell r="U12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LEM"/>
      <sheetName val="Ark1"/>
    </sheetNames>
    <sheetDataSet>
      <sheetData sheetId="0">
        <row r="576">
          <cell r="H576">
            <v>1475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LEM"/>
      <sheetName val="Ark1"/>
    </sheetNames>
    <sheetDataSet>
      <sheetData sheetId="0">
        <row r="522">
          <cell r="H522">
            <v>-1200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"/>
      <sheetName val="2008"/>
      <sheetName val="2010"/>
      <sheetName val="2011"/>
      <sheetName val="2012"/>
      <sheetName val="2013"/>
      <sheetName val="2014"/>
      <sheetName val="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V5">
            <v>1021</v>
          </cell>
        </row>
        <row r="25">
          <cell r="V25">
            <v>5000</v>
          </cell>
        </row>
        <row r="123">
          <cell r="G123">
            <v>57291.999999999978</v>
          </cell>
          <cell r="H123">
            <v>48200</v>
          </cell>
          <cell r="J123">
            <v>1711.35</v>
          </cell>
          <cell r="K123">
            <v>11994.74</v>
          </cell>
          <cell r="L123">
            <v>6741</v>
          </cell>
          <cell r="M123">
            <v>885.51</v>
          </cell>
          <cell r="N123">
            <v>690</v>
          </cell>
          <cell r="O123">
            <v>7086</v>
          </cell>
          <cell r="P123">
            <v>6589.25</v>
          </cell>
          <cell r="Q123">
            <v>0</v>
          </cell>
          <cell r="R123">
            <v>1066.53</v>
          </cell>
          <cell r="S123">
            <v>10775</v>
          </cell>
          <cell r="U123">
            <v>0</v>
          </cell>
        </row>
        <row r="125">
          <cell r="K125">
            <v>-57167.78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"/>
      <sheetName val="2008"/>
      <sheetName val="2010"/>
      <sheetName val="2011"/>
      <sheetName val="2012"/>
      <sheetName val="2013"/>
      <sheetName val="2014"/>
      <sheetName val="2015"/>
      <sheetName val="2016"/>
      <sheetName val="best.møde sep. 16"/>
      <sheetName val="best.møde nov.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7">
          <cell r="V27">
            <v>679.06</v>
          </cell>
        </row>
        <row r="35">
          <cell r="V35">
            <v>810</v>
          </cell>
        </row>
        <row r="123">
          <cell r="G123">
            <v>65929.08</v>
          </cell>
          <cell r="H123">
            <v>47125</v>
          </cell>
          <cell r="J123">
            <v>3681.1499999999996</v>
          </cell>
          <cell r="K123">
            <v>11225.95</v>
          </cell>
          <cell r="L123">
            <v>5196</v>
          </cell>
          <cell r="M123">
            <v>1814.06</v>
          </cell>
          <cell r="N123">
            <v>0</v>
          </cell>
          <cell r="O123">
            <v>4561</v>
          </cell>
          <cell r="P123">
            <v>6633</v>
          </cell>
          <cell r="Q123">
            <v>0</v>
          </cell>
          <cell r="R123">
            <v>300</v>
          </cell>
          <cell r="S123">
            <v>10950</v>
          </cell>
        </row>
        <row r="125">
          <cell r="K125">
            <v>-42169.07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"/>
      <sheetName val="2008"/>
      <sheetName val="2009"/>
      <sheetName val="20098"/>
    </sheetNames>
    <sheetDataSet>
      <sheetData sheetId="0" refreshError="1"/>
      <sheetData sheetId="1" refreshError="1">
        <row r="123">
          <cell r="E123">
            <v>213.05000000000018</v>
          </cell>
          <cell r="F123">
            <v>0</v>
          </cell>
          <cell r="G123">
            <v>48885.329999999994</v>
          </cell>
          <cell r="H123">
            <v>53045</v>
          </cell>
          <cell r="J123">
            <v>2704.7400000000002</v>
          </cell>
          <cell r="K123">
            <v>7771.15</v>
          </cell>
          <cell r="L123">
            <v>8156.5</v>
          </cell>
          <cell r="M123">
            <v>4170.29</v>
          </cell>
          <cell r="O123">
            <v>3795</v>
          </cell>
          <cell r="P123">
            <v>5703.4</v>
          </cell>
          <cell r="R123">
            <v>475</v>
          </cell>
          <cell r="S123">
            <v>13800</v>
          </cell>
          <cell r="U123">
            <v>148</v>
          </cell>
          <cell r="V123">
            <v>3000</v>
          </cell>
        </row>
        <row r="125">
          <cell r="K125">
            <v>-47019.34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"/>
      <sheetName val="2008"/>
      <sheetName val="2009"/>
    </sheetNames>
    <sheetDataSet>
      <sheetData sheetId="0" refreshError="1"/>
      <sheetData sheetId="1" refreshError="1"/>
      <sheetData sheetId="2">
        <row r="123">
          <cell r="E123">
            <v>5.0000000000181899E-2</v>
          </cell>
          <cell r="G123">
            <v>46142.469999999994</v>
          </cell>
          <cell r="H123">
            <v>49975</v>
          </cell>
          <cell r="J123">
            <v>2711.6000000000004</v>
          </cell>
          <cell r="K123">
            <v>7906</v>
          </cell>
          <cell r="L123">
            <v>5172</v>
          </cell>
          <cell r="M123">
            <v>6177.7999999999993</v>
          </cell>
          <cell r="O123">
            <v>3945</v>
          </cell>
          <cell r="P123">
            <v>7346.7</v>
          </cell>
          <cell r="R123">
            <v>462.5</v>
          </cell>
          <cell r="S123">
            <v>8175</v>
          </cell>
          <cell r="U123">
            <v>100</v>
          </cell>
          <cell r="V123">
            <v>16357.46</v>
          </cell>
        </row>
        <row r="125">
          <cell r="K125">
            <v>-55642.46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"/>
      <sheetName val="2008"/>
      <sheetName val="2010"/>
    </sheetNames>
    <sheetDataSet>
      <sheetData sheetId="0"/>
      <sheetData sheetId="1"/>
      <sheetData sheetId="2">
        <row r="123">
          <cell r="E123">
            <v>1.8189616479702408E-13</v>
          </cell>
          <cell r="G123">
            <v>58632.7</v>
          </cell>
          <cell r="H123">
            <v>49475</v>
          </cell>
          <cell r="J123">
            <v>2907.33</v>
          </cell>
          <cell r="K123">
            <v>13664</v>
          </cell>
          <cell r="L123">
            <v>4723</v>
          </cell>
          <cell r="M123">
            <v>548.75</v>
          </cell>
          <cell r="O123">
            <v>4035</v>
          </cell>
          <cell r="P123">
            <v>7511.35</v>
          </cell>
          <cell r="R123">
            <v>450</v>
          </cell>
          <cell r="S123">
            <v>8500</v>
          </cell>
          <cell r="U123">
            <v>0</v>
          </cell>
          <cell r="V123">
            <v>460.05</v>
          </cell>
        </row>
        <row r="125">
          <cell r="K125">
            <v>-39892.15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"/>
      <sheetName val="2008"/>
      <sheetName val="2010"/>
      <sheetName val="2011"/>
    </sheetNames>
    <sheetDataSet>
      <sheetData sheetId="0"/>
      <sheetData sheetId="1"/>
      <sheetData sheetId="2"/>
      <sheetData sheetId="3">
        <row r="123">
          <cell r="E123">
            <v>1.8189616479702408E-13</v>
          </cell>
          <cell r="G123">
            <v>36475.639999999985</v>
          </cell>
          <cell r="H123">
            <v>47975</v>
          </cell>
          <cell r="J123">
            <v>2939.84</v>
          </cell>
          <cell r="K123">
            <v>14532</v>
          </cell>
          <cell r="L123">
            <v>8062</v>
          </cell>
          <cell r="M123">
            <v>1850.55</v>
          </cell>
          <cell r="N123">
            <v>17870.5</v>
          </cell>
          <cell r="O123">
            <v>4185</v>
          </cell>
          <cell r="P123">
            <v>8476.35</v>
          </cell>
          <cell r="R123">
            <v>450</v>
          </cell>
          <cell r="S123">
            <v>7375</v>
          </cell>
          <cell r="U123">
            <v>420</v>
          </cell>
          <cell r="V123">
            <v>9850.5</v>
          </cell>
        </row>
        <row r="125">
          <cell r="K125">
            <v>-73071.899999999994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LEM"/>
    </sheetNames>
    <sheetDataSet>
      <sheetData sheetId="0">
        <row r="546">
          <cell r="H546">
            <v>1200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"/>
      <sheetName val="2008"/>
      <sheetName val="2010"/>
      <sheetName val="2011"/>
      <sheetName val="2012"/>
    </sheetNames>
    <sheetDataSet>
      <sheetData sheetId="0"/>
      <sheetData sheetId="1"/>
      <sheetData sheetId="2"/>
      <sheetData sheetId="3"/>
      <sheetData sheetId="4">
        <row r="123">
          <cell r="G123">
            <v>47435.279999999977</v>
          </cell>
          <cell r="H123">
            <v>48100</v>
          </cell>
          <cell r="J123">
            <v>2858.8700000000003</v>
          </cell>
          <cell r="K123">
            <v>14405</v>
          </cell>
          <cell r="L123">
            <v>492</v>
          </cell>
          <cell r="M123">
            <v>3143.54</v>
          </cell>
          <cell r="N123">
            <v>0</v>
          </cell>
          <cell r="O123">
            <v>4130</v>
          </cell>
          <cell r="P123">
            <v>8125.9400000000005</v>
          </cell>
          <cell r="R123">
            <v>450</v>
          </cell>
          <cell r="S123">
            <v>8900</v>
          </cell>
          <cell r="U123">
            <v>0</v>
          </cell>
          <cell r="V123">
            <v>352.75</v>
          </cell>
        </row>
        <row r="125">
          <cell r="K125">
            <v>-39999.230000000003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LEM"/>
    </sheetNames>
    <sheetDataSet>
      <sheetData sheetId="0">
        <row r="496">
          <cell r="H496">
            <v>-1625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"/>
      <sheetName val="2008"/>
      <sheetName val="2010"/>
      <sheetName val="2011"/>
      <sheetName val="2012"/>
      <sheetName val="2013"/>
      <sheetName val="2014"/>
      <sheetName val="2014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23">
          <cell r="G123">
            <v>162967.59</v>
          </cell>
          <cell r="J123">
            <v>3075.5</v>
          </cell>
          <cell r="K123">
            <v>15556</v>
          </cell>
          <cell r="L123">
            <v>3576</v>
          </cell>
          <cell r="M123">
            <v>2513.9499999999998</v>
          </cell>
          <cell r="N123">
            <v>0</v>
          </cell>
          <cell r="O123">
            <v>4130</v>
          </cell>
          <cell r="P123">
            <v>5495.5</v>
          </cell>
          <cell r="R123">
            <v>461.5</v>
          </cell>
          <cell r="S123">
            <v>10000</v>
          </cell>
          <cell r="U123">
            <v>0</v>
          </cell>
          <cell r="V123">
            <v>-106964.76</v>
          </cell>
        </row>
        <row r="125">
          <cell r="K125">
            <v>65231.81</v>
          </cell>
        </row>
      </sheetData>
      <sheetData sheetId="6">
        <row r="123">
          <cell r="G123">
            <v>163419.32999999996</v>
          </cell>
          <cell r="H123">
            <v>50775</v>
          </cell>
          <cell r="J123">
            <v>1586.89</v>
          </cell>
          <cell r="K123">
            <v>13772.5</v>
          </cell>
          <cell r="L123">
            <v>8910</v>
          </cell>
          <cell r="M123">
            <v>5189.1900000000005</v>
          </cell>
          <cell r="N123">
            <v>0</v>
          </cell>
          <cell r="O123">
            <v>2142.5</v>
          </cell>
          <cell r="P123">
            <v>5685.95</v>
          </cell>
          <cell r="R123">
            <v>300</v>
          </cell>
          <cell r="S123">
            <v>10600</v>
          </cell>
          <cell r="U123">
            <v>0</v>
          </cell>
        </row>
        <row r="125">
          <cell r="K125">
            <v>-51910.15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16"/>
  <sheetViews>
    <sheetView workbookViewId="0">
      <selection activeCell="F15" sqref="F15"/>
    </sheetView>
  </sheetViews>
  <sheetFormatPr defaultRowHeight="12.75" x14ac:dyDescent="0.2"/>
  <cols>
    <col min="1" max="1" width="17.28515625" customWidth="1"/>
    <col min="2" max="2" width="11" customWidth="1"/>
    <col min="3" max="3" width="12.85546875" customWidth="1"/>
    <col min="4" max="4" width="6.85546875" customWidth="1"/>
    <col min="5" max="5" width="17.28515625" customWidth="1"/>
    <col min="6" max="6" width="11" customWidth="1"/>
    <col min="7" max="7" width="12.85546875" customWidth="1"/>
    <col min="9" max="9" width="10.140625" bestFit="1" customWidth="1"/>
  </cols>
  <sheetData>
    <row r="6" spans="1:11" ht="18" x14ac:dyDescent="0.25">
      <c r="B6" s="8" t="s">
        <v>0</v>
      </c>
    </row>
    <row r="7" spans="1:11" x14ac:dyDescent="0.2">
      <c r="B7" s="1"/>
    </row>
    <row r="8" spans="1:11" x14ac:dyDescent="0.2">
      <c r="B8" s="1"/>
    </row>
    <row r="10" spans="1:11" x14ac:dyDescent="0.2">
      <c r="A10" s="55" t="s">
        <v>29</v>
      </c>
      <c r="B10" s="55"/>
      <c r="C10" s="55"/>
      <c r="D10" s="55"/>
      <c r="E10" s="55"/>
      <c r="F10" s="55"/>
      <c r="G10" s="55"/>
    </row>
    <row r="12" spans="1:11" x14ac:dyDescent="0.2">
      <c r="A12" s="4" t="s">
        <v>1</v>
      </c>
      <c r="B12" s="5">
        <v>2007</v>
      </c>
      <c r="C12" s="5">
        <v>2006</v>
      </c>
      <c r="E12" s="4" t="s">
        <v>5</v>
      </c>
      <c r="F12" s="5">
        <v>2007</v>
      </c>
      <c r="G12" s="5">
        <v>2006</v>
      </c>
      <c r="H12" s="2"/>
      <c r="I12" s="2"/>
      <c r="J12" s="2"/>
      <c r="K12" s="2"/>
    </row>
    <row r="13" spans="1:11" ht="8.2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">
      <c r="A14" s="2" t="s">
        <v>2</v>
      </c>
      <c r="B14" s="2">
        <f>[1]Ark1!$H$122</f>
        <v>34206</v>
      </c>
      <c r="C14" s="2">
        <v>38985</v>
      </c>
      <c r="D14" s="2"/>
      <c r="E14" s="2" t="s">
        <v>2</v>
      </c>
      <c r="F14" s="2">
        <f>[1]Ark1!$O$122</f>
        <v>4075</v>
      </c>
      <c r="G14" s="2">
        <v>4330</v>
      </c>
      <c r="H14" s="2"/>
      <c r="I14" s="2"/>
      <c r="J14" s="2"/>
      <c r="K14" s="2"/>
    </row>
    <row r="15" spans="1:11" x14ac:dyDescent="0.2">
      <c r="A15" s="2" t="s">
        <v>3</v>
      </c>
      <c r="B15" s="2">
        <f>[1]Ark1!$J$122</f>
        <v>2896.53</v>
      </c>
      <c r="C15" s="2">
        <v>2618.67</v>
      </c>
      <c r="D15" s="2"/>
      <c r="E15" s="2" t="s">
        <v>6</v>
      </c>
      <c r="F15" s="2">
        <f>[1]Ark1!$K$122</f>
        <v>8965</v>
      </c>
      <c r="G15" s="2">
        <v>9536</v>
      </c>
      <c r="H15" s="2"/>
      <c r="I15" s="2"/>
      <c r="J15" s="2"/>
      <c r="K15" s="2"/>
    </row>
    <row r="16" spans="1:11" x14ac:dyDescent="0.2">
      <c r="A16" s="2" t="s">
        <v>10</v>
      </c>
      <c r="B16" s="2">
        <v>0</v>
      </c>
      <c r="C16" s="2">
        <v>1610.8</v>
      </c>
      <c r="D16" s="2"/>
      <c r="E16" s="2" t="s">
        <v>7</v>
      </c>
      <c r="F16" s="2">
        <f>[1]Ark1!$L$122+[1]Ark1!$M$122+[1]Ark1!$S$122+[1]Ark1!$U$122</f>
        <v>14309.19</v>
      </c>
      <c r="G16" s="2">
        <v>14608.23</v>
      </c>
      <c r="H16" s="2"/>
      <c r="I16" s="2"/>
      <c r="J16" s="2"/>
      <c r="K16" s="2"/>
    </row>
    <row r="17" spans="1:11" x14ac:dyDescent="0.2">
      <c r="A17" s="2" t="s">
        <v>4</v>
      </c>
      <c r="B17" s="2">
        <v>0</v>
      </c>
      <c r="C17" s="2">
        <v>15564.55</v>
      </c>
      <c r="D17" s="2"/>
      <c r="E17" s="2" t="s">
        <v>8</v>
      </c>
      <c r="F17" s="2">
        <f>[1]Ark1!$P$122</f>
        <v>6601</v>
      </c>
      <c r="G17" s="2">
        <v>7978.7</v>
      </c>
      <c r="H17" s="2"/>
      <c r="I17" s="2"/>
      <c r="J17" s="2"/>
      <c r="K17" s="2"/>
    </row>
    <row r="18" spans="1:11" ht="13.5" thickBot="1" x14ac:dyDescent="0.25">
      <c r="A18" s="2"/>
      <c r="B18" s="3">
        <f>SUM(B14:B17)</f>
        <v>37102.53</v>
      </c>
      <c r="C18" s="3">
        <f>SUM(C14:C17)</f>
        <v>58779.020000000004</v>
      </c>
      <c r="D18" s="2"/>
      <c r="E18" s="2" t="s">
        <v>11</v>
      </c>
      <c r="F18" s="2">
        <v>0</v>
      </c>
      <c r="G18" s="2">
        <v>549.34</v>
      </c>
      <c r="H18" s="2"/>
      <c r="I18" s="2"/>
      <c r="J18" s="2"/>
      <c r="K18" s="2"/>
    </row>
    <row r="19" spans="1:11" ht="13.5" thickTop="1" x14ac:dyDescent="0.2">
      <c r="A19" s="2"/>
      <c r="B19" s="2"/>
      <c r="C19" s="2"/>
      <c r="D19" s="2"/>
      <c r="E19" s="2" t="s">
        <v>9</v>
      </c>
      <c r="F19" s="2">
        <f>[1]Ark1!$R$122</f>
        <v>386.5</v>
      </c>
      <c r="G19" s="2">
        <v>708.95</v>
      </c>
      <c r="H19" s="2"/>
      <c r="I19" s="2"/>
      <c r="J19" s="2"/>
      <c r="K19" s="2"/>
    </row>
    <row r="20" spans="1:11" x14ac:dyDescent="0.2">
      <c r="A20" s="2"/>
      <c r="B20" s="2"/>
      <c r="C20" s="2"/>
      <c r="D20" s="2"/>
      <c r="E20" s="2" t="s">
        <v>12</v>
      </c>
      <c r="F20" s="2">
        <v>470.4</v>
      </c>
      <c r="G20" s="2">
        <v>0</v>
      </c>
      <c r="H20" s="2"/>
      <c r="I20" s="2"/>
      <c r="J20" s="2"/>
      <c r="K20" s="2"/>
    </row>
    <row r="21" spans="1:11" x14ac:dyDescent="0.2">
      <c r="A21" s="2"/>
      <c r="B21" s="2"/>
      <c r="C21" s="2"/>
      <c r="D21" s="2"/>
      <c r="E21" s="2" t="s">
        <v>4</v>
      </c>
      <c r="F21" s="2">
        <v>0</v>
      </c>
      <c r="G21" s="2">
        <v>39575.15</v>
      </c>
      <c r="H21" s="2"/>
      <c r="I21" s="2" t="s">
        <v>37</v>
      </c>
      <c r="J21" s="2"/>
      <c r="K21" s="2"/>
    </row>
    <row r="22" spans="1:11" x14ac:dyDescent="0.2">
      <c r="A22" s="2"/>
      <c r="B22" s="2"/>
      <c r="C22" s="2"/>
      <c r="D22" s="2"/>
      <c r="E22" s="2" t="s">
        <v>31</v>
      </c>
      <c r="F22" s="2">
        <v>2295.44</v>
      </c>
      <c r="G22" s="2">
        <v>-18507.349999999999</v>
      </c>
      <c r="H22" s="2"/>
      <c r="I22" s="2">
        <f>+B18-F23</f>
        <v>0</v>
      </c>
      <c r="J22" s="2"/>
      <c r="K22" s="2"/>
    </row>
    <row r="23" spans="1:11" ht="13.5" thickBot="1" x14ac:dyDescent="0.25">
      <c r="A23" s="2"/>
      <c r="B23" s="2"/>
      <c r="C23" s="2"/>
      <c r="D23" s="2"/>
      <c r="E23" s="2"/>
      <c r="F23" s="3">
        <f>SUM(F14:F22)</f>
        <v>37102.530000000006</v>
      </c>
      <c r="G23" s="3">
        <f>SUM(G14:G22)</f>
        <v>58779.02</v>
      </c>
      <c r="H23" s="2"/>
      <c r="I23" s="2"/>
      <c r="J23" s="2"/>
      <c r="K23" s="2"/>
    </row>
    <row r="24" spans="1:11" ht="13.5" thickTop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">
      <c r="A26" s="2" t="s">
        <v>13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">
      <c r="A30" s="56" t="s">
        <v>28</v>
      </c>
      <c r="B30" s="56"/>
      <c r="C30" s="56"/>
      <c r="D30" s="56"/>
      <c r="E30" s="56"/>
      <c r="F30" s="56"/>
      <c r="G30" s="56"/>
      <c r="H30" s="2"/>
      <c r="I30" s="2"/>
      <c r="J30" s="2"/>
      <c r="K30" s="2"/>
    </row>
    <row r="31" spans="1:11" x14ac:dyDescent="0.2">
      <c r="A31" s="2"/>
      <c r="B31" s="2"/>
      <c r="C31" s="2"/>
      <c r="D31" s="2"/>
      <c r="H31" s="2"/>
      <c r="I31" s="2"/>
      <c r="J31" s="2"/>
      <c r="K31" s="2"/>
    </row>
    <row r="32" spans="1:11" x14ac:dyDescent="0.2">
      <c r="A32" s="4" t="s">
        <v>14</v>
      </c>
      <c r="B32" s="5">
        <v>2007</v>
      </c>
      <c r="C32" s="5">
        <v>2006</v>
      </c>
      <c r="D32" s="2"/>
      <c r="E32" s="4" t="s">
        <v>15</v>
      </c>
      <c r="F32" s="5">
        <v>2007</v>
      </c>
      <c r="G32" s="5">
        <v>2006</v>
      </c>
      <c r="H32" s="2"/>
      <c r="I32" s="2"/>
      <c r="J32" s="2"/>
      <c r="K32" s="2"/>
    </row>
    <row r="33" spans="1:11" ht="8.2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">
      <c r="A34" s="2" t="s">
        <v>16</v>
      </c>
      <c r="B34" s="2">
        <f>[1]Ark1!$E$122</f>
        <v>13.050000000000182</v>
      </c>
      <c r="C34" s="2">
        <v>633.04999999999995</v>
      </c>
      <c r="D34" s="2"/>
      <c r="E34" s="2" t="s">
        <v>21</v>
      </c>
      <c r="F34" s="2">
        <f>+G36</f>
        <v>140064.69</v>
      </c>
      <c r="G34" s="2">
        <v>158572.04</v>
      </c>
      <c r="H34" s="2"/>
      <c r="I34" s="2"/>
      <c r="J34" s="2"/>
      <c r="K34" s="2"/>
    </row>
    <row r="35" spans="1:11" x14ac:dyDescent="0.2">
      <c r="A35" s="2" t="s">
        <v>17</v>
      </c>
      <c r="B35" s="2">
        <f>[1]Ark1!$F$122</f>
        <v>22279.910000000003</v>
      </c>
      <c r="C35" s="2">
        <v>19496.240000000002</v>
      </c>
      <c r="D35" s="2"/>
      <c r="E35" s="2" t="s">
        <v>31</v>
      </c>
      <c r="F35" s="2">
        <f>+F22</f>
        <v>2295.44</v>
      </c>
      <c r="G35" s="2">
        <v>-18507.349999999999</v>
      </c>
      <c r="H35" s="2"/>
      <c r="I35" s="2"/>
      <c r="J35" s="2"/>
      <c r="K35" s="2"/>
    </row>
    <row r="36" spans="1:11" ht="13.5" thickBot="1" x14ac:dyDescent="0.25">
      <c r="A36" s="2" t="s">
        <v>18</v>
      </c>
      <c r="B36" s="2">
        <f>[1]Ark1!$G$122</f>
        <v>18075.02</v>
      </c>
      <c r="C36" s="2">
        <v>10872.85</v>
      </c>
      <c r="D36" s="2"/>
      <c r="E36" s="2" t="s">
        <v>22</v>
      </c>
      <c r="F36" s="3">
        <f>SUM(F34:F35)</f>
        <v>142360.13</v>
      </c>
      <c r="G36" s="3">
        <f>SUM(G34:G35)</f>
        <v>140064.69</v>
      </c>
      <c r="H36" s="2" t="s">
        <v>35</v>
      </c>
      <c r="I36" s="2"/>
      <c r="J36" s="2"/>
      <c r="K36" s="2"/>
    </row>
    <row r="37" spans="1:11" ht="13.5" thickTop="1" x14ac:dyDescent="0.2">
      <c r="A37" s="2" t="s">
        <v>19</v>
      </c>
      <c r="B37" s="2">
        <v>98082.15</v>
      </c>
      <c r="C37" s="2">
        <v>98051.3</v>
      </c>
      <c r="D37" s="2"/>
      <c r="E37" s="2"/>
      <c r="F37" s="2"/>
      <c r="G37" s="2"/>
      <c r="H37" s="2">
        <f>+C37-B37</f>
        <v>-30.849999999991269</v>
      </c>
      <c r="I37" s="2"/>
      <c r="J37" s="2"/>
      <c r="K37" s="2"/>
    </row>
    <row r="38" spans="1:11" x14ac:dyDescent="0.2">
      <c r="A38" s="2" t="s">
        <v>20</v>
      </c>
      <c r="B38" s="2">
        <v>10510</v>
      </c>
      <c r="C38" s="2">
        <v>11011.25</v>
      </c>
      <c r="D38" s="2"/>
      <c r="E38" s="2" t="s">
        <v>34</v>
      </c>
      <c r="F38" s="9">
        <v>6600</v>
      </c>
      <c r="G38" s="9">
        <v>0</v>
      </c>
      <c r="H38" s="2">
        <f>+C38-B38</f>
        <v>501.25</v>
      </c>
      <c r="I38" s="2" t="s">
        <v>36</v>
      </c>
      <c r="J38" s="2"/>
      <c r="K38" s="2"/>
    </row>
    <row r="39" spans="1:11" ht="13.5" thickBot="1" x14ac:dyDescent="0.25">
      <c r="A39" s="2"/>
      <c r="B39" s="3">
        <f>SUM(B34:B38)</f>
        <v>148960.13</v>
      </c>
      <c r="C39" s="3">
        <f>SUM(C34:C38)</f>
        <v>140064.69</v>
      </c>
      <c r="D39" s="2"/>
      <c r="E39" s="2"/>
      <c r="F39" s="3">
        <f>SUM(F36:F38)</f>
        <v>148960.13</v>
      </c>
      <c r="G39" s="3">
        <f>SUM(G36:G38)</f>
        <v>140064.69</v>
      </c>
      <c r="H39" s="2"/>
      <c r="I39" s="2">
        <f>+B39-F39</f>
        <v>0</v>
      </c>
      <c r="J39" s="2"/>
      <c r="K39" s="2"/>
    </row>
    <row r="40" spans="1:11" ht="13.5" thickTop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">
      <c r="A42" s="2" t="s">
        <v>32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">
      <c r="A46" s="2"/>
      <c r="B46" s="2"/>
      <c r="D46" s="2"/>
      <c r="E46" s="2"/>
      <c r="G46" s="6" t="s">
        <v>30</v>
      </c>
      <c r="H46" s="2"/>
      <c r="I46" s="2"/>
      <c r="J46" s="2"/>
      <c r="K46" s="2"/>
    </row>
    <row r="47" spans="1:1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">
      <c r="A49" s="2" t="s">
        <v>33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">
      <c r="A51" s="7" t="s">
        <v>23</v>
      </c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">
      <c r="A52" s="2" t="s">
        <v>26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2" t="s">
        <v>27</v>
      </c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">
      <c r="B57" s="2" t="s">
        <v>24</v>
      </c>
      <c r="C57" s="2"/>
      <c r="D57" s="2"/>
      <c r="E57" s="2"/>
      <c r="F57" s="6" t="s">
        <v>25</v>
      </c>
      <c r="H57" s="2"/>
      <c r="I57" s="2"/>
      <c r="J57" s="2"/>
      <c r="K57" s="2"/>
    </row>
    <row r="58" spans="1:1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">
      <c r="A63" s="4" t="s">
        <v>38</v>
      </c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">
      <c r="A65" s="4"/>
      <c r="B65" s="11" t="s">
        <v>57</v>
      </c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">
      <c r="A67" s="4"/>
      <c r="B67" s="10" t="s">
        <v>39</v>
      </c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">
      <c r="A69" s="2"/>
      <c r="B69" s="2" t="s">
        <v>40</v>
      </c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">
      <c r="A70" s="2"/>
      <c r="B70" s="2" t="s">
        <v>41</v>
      </c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">
      <c r="A71" s="2"/>
      <c r="B71" s="2" t="s">
        <v>42</v>
      </c>
      <c r="C71" s="2"/>
      <c r="D71" s="2"/>
      <c r="H71" s="2"/>
      <c r="I71" s="2"/>
      <c r="J71" s="2"/>
      <c r="K71" s="2"/>
    </row>
    <row r="72" spans="1:11" x14ac:dyDescent="0.2">
      <c r="A72" s="2"/>
      <c r="B72" s="2"/>
      <c r="C72" s="2"/>
    </row>
    <row r="74" spans="1:11" x14ac:dyDescent="0.2">
      <c r="B74" s="10" t="s">
        <v>43</v>
      </c>
    </row>
    <row r="76" spans="1:11" x14ac:dyDescent="0.2">
      <c r="B76" t="s">
        <v>44</v>
      </c>
      <c r="E76" s="2">
        <v>50.36</v>
      </c>
    </row>
    <row r="77" spans="1:11" x14ac:dyDescent="0.2">
      <c r="B77" t="s">
        <v>45</v>
      </c>
      <c r="E77" s="2">
        <v>255.33</v>
      </c>
    </row>
    <row r="78" spans="1:11" x14ac:dyDescent="0.2">
      <c r="B78" t="s">
        <v>20</v>
      </c>
      <c r="E78" s="2">
        <f>455.83-68.39</f>
        <v>387.44</v>
      </c>
    </row>
    <row r="79" spans="1:11" x14ac:dyDescent="0.2">
      <c r="B79" t="s">
        <v>19</v>
      </c>
      <c r="E79" s="9">
        <v>2203.4</v>
      </c>
    </row>
    <row r="80" spans="1:11" x14ac:dyDescent="0.2">
      <c r="E80" s="2">
        <f>SUM(E76:E79)</f>
        <v>2896.53</v>
      </c>
    </row>
    <row r="81" spans="2:5" x14ac:dyDescent="0.2">
      <c r="C81" s="2"/>
    </row>
    <row r="82" spans="2:5" x14ac:dyDescent="0.2">
      <c r="C82" s="2"/>
    </row>
    <row r="83" spans="2:5" x14ac:dyDescent="0.2">
      <c r="B83" s="12" t="s">
        <v>58</v>
      </c>
    </row>
    <row r="85" spans="2:5" x14ac:dyDescent="0.2">
      <c r="B85" s="10" t="s">
        <v>39</v>
      </c>
    </row>
    <row r="87" spans="2:5" x14ac:dyDescent="0.2">
      <c r="B87" t="s">
        <v>60</v>
      </c>
    </row>
    <row r="88" spans="2:5" x14ac:dyDescent="0.2">
      <c r="B88" t="s">
        <v>46</v>
      </c>
    </row>
    <row r="91" spans="2:5" x14ac:dyDescent="0.2">
      <c r="B91" s="10" t="s">
        <v>47</v>
      </c>
    </row>
    <row r="93" spans="2:5" x14ac:dyDescent="0.2">
      <c r="B93" t="s">
        <v>48</v>
      </c>
      <c r="E93" s="2">
        <v>5098</v>
      </c>
    </row>
    <row r="94" spans="2:5" x14ac:dyDescent="0.2">
      <c r="B94" t="s">
        <v>49</v>
      </c>
      <c r="E94" s="2">
        <v>2611.19</v>
      </c>
    </row>
    <row r="95" spans="2:5" x14ac:dyDescent="0.2">
      <c r="B95" t="s">
        <v>50</v>
      </c>
      <c r="E95" s="2">
        <v>6600</v>
      </c>
    </row>
    <row r="96" spans="2:5" x14ac:dyDescent="0.2">
      <c r="B96" t="s">
        <v>51</v>
      </c>
      <c r="E96" s="9">
        <v>0</v>
      </c>
    </row>
    <row r="97" spans="2:5" x14ac:dyDescent="0.2">
      <c r="E97" s="2">
        <f>SUM(E93:E96)</f>
        <v>14309.19</v>
      </c>
    </row>
    <row r="100" spans="2:5" x14ac:dyDescent="0.2">
      <c r="B100" s="10" t="s">
        <v>52</v>
      </c>
    </row>
    <row r="102" spans="2:5" x14ac:dyDescent="0.2">
      <c r="B102" t="s">
        <v>19</v>
      </c>
      <c r="E102" s="2">
        <f>H37</f>
        <v>-30.849999999991269</v>
      </c>
    </row>
    <row r="103" spans="2:5" x14ac:dyDescent="0.2">
      <c r="B103" t="s">
        <v>20</v>
      </c>
      <c r="E103" s="9">
        <f>H38</f>
        <v>501.25</v>
      </c>
    </row>
    <row r="104" spans="2:5" x14ac:dyDescent="0.2">
      <c r="E104" s="2">
        <f>SUM(E102:E103)</f>
        <v>470.40000000000873</v>
      </c>
    </row>
    <row r="107" spans="2:5" x14ac:dyDescent="0.2">
      <c r="B107" s="12" t="s">
        <v>59</v>
      </c>
    </row>
    <row r="109" spans="2:5" x14ac:dyDescent="0.2">
      <c r="B109" s="10" t="s">
        <v>53</v>
      </c>
    </row>
    <row r="111" spans="2:5" x14ac:dyDescent="0.2">
      <c r="B111" t="s">
        <v>54</v>
      </c>
    </row>
    <row r="114" spans="2:2" x14ac:dyDescent="0.2">
      <c r="B114" s="10" t="s">
        <v>55</v>
      </c>
    </row>
    <row r="116" spans="2:2" x14ac:dyDescent="0.2">
      <c r="B116" t="s">
        <v>56</v>
      </c>
    </row>
  </sheetData>
  <mergeCells count="2">
    <mergeCell ref="A10:G10"/>
    <mergeCell ref="A30:G30"/>
  </mergeCells>
  <phoneticPr fontId="0" type="noConversion"/>
  <pageMargins left="0.57999999999999996" right="0.24" top="0.38" bottom="1" header="0" footer="0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8"/>
  <sheetViews>
    <sheetView tabSelected="1" topLeftCell="A7" workbookViewId="0">
      <selection activeCell="M85" sqref="M85"/>
    </sheetView>
  </sheetViews>
  <sheetFormatPr defaultRowHeight="15" x14ac:dyDescent="0.25"/>
  <cols>
    <col min="1" max="1" width="17.28515625" style="34" customWidth="1"/>
    <col min="2" max="3" width="12.85546875" style="34" customWidth="1"/>
    <col min="4" max="4" width="6.85546875" style="34" customWidth="1"/>
    <col min="5" max="5" width="18.28515625" style="34" customWidth="1"/>
    <col min="6" max="6" width="11" style="34" customWidth="1"/>
    <col min="7" max="7" width="12.85546875" style="34" customWidth="1"/>
    <col min="8" max="8" width="13.140625" style="34" customWidth="1"/>
    <col min="9" max="9" width="11.140625" style="34" customWidth="1"/>
    <col min="10" max="10" width="10.140625" style="34" bestFit="1" customWidth="1"/>
    <col min="11" max="11" width="9.140625" style="34"/>
    <col min="12" max="12" width="12" style="34" customWidth="1"/>
    <col min="13" max="13" width="10.85546875" style="34" bestFit="1" customWidth="1"/>
    <col min="14" max="16384" width="9.140625" style="34"/>
  </cols>
  <sheetData>
    <row r="2" spans="1:16" x14ac:dyDescent="0.25">
      <c r="L2" s="34" t="s">
        <v>131</v>
      </c>
      <c r="M2" s="34" t="s">
        <v>132</v>
      </c>
      <c r="N2" s="34" t="s">
        <v>133</v>
      </c>
      <c r="O2" s="34" t="s">
        <v>152</v>
      </c>
    </row>
    <row r="3" spans="1:16" x14ac:dyDescent="0.25">
      <c r="B3" s="35" t="s">
        <v>0</v>
      </c>
      <c r="L3" s="34">
        <f>462*100</f>
        <v>46200</v>
      </c>
      <c r="M3" s="34">
        <v>675</v>
      </c>
      <c r="N3" s="34">
        <f>SUM(L3:M3)</f>
        <v>46875</v>
      </c>
    </row>
    <row r="4" spans="1:16" x14ac:dyDescent="0.25">
      <c r="B4" s="35"/>
      <c r="K4" s="41" t="s">
        <v>134</v>
      </c>
      <c r="L4" s="34">
        <f>-7*100</f>
        <v>-700</v>
      </c>
      <c r="M4" s="34">
        <v>950</v>
      </c>
      <c r="N4" s="34">
        <f>SUM(L4:M4)</f>
        <v>250</v>
      </c>
      <c r="P4" s="49" t="s">
        <v>136</v>
      </c>
    </row>
    <row r="5" spans="1:16" x14ac:dyDescent="0.25">
      <c r="B5" s="35"/>
      <c r="L5" s="34">
        <f>SUM(L3:L4)</f>
        <v>45500</v>
      </c>
      <c r="M5" s="34">
        <f>SUM(M3:M4)</f>
        <v>1625</v>
      </c>
      <c r="N5" s="34">
        <f>SUM(N3:N4)</f>
        <v>47125</v>
      </c>
      <c r="O5" s="34">
        <f>'[13]2016'!$H$123</f>
        <v>47125</v>
      </c>
      <c r="P5" s="49">
        <f>+N5-O5</f>
        <v>0</v>
      </c>
    </row>
    <row r="7" spans="1:16" x14ac:dyDescent="0.25">
      <c r="A7" s="58" t="s">
        <v>187</v>
      </c>
      <c r="B7" s="58"/>
      <c r="C7" s="58"/>
      <c r="D7" s="58"/>
      <c r="E7" s="58"/>
      <c r="F7" s="58"/>
      <c r="G7" s="58"/>
    </row>
    <row r="9" spans="1:16" x14ac:dyDescent="0.25">
      <c r="A9" s="35" t="s">
        <v>1</v>
      </c>
      <c r="B9" s="36">
        <v>2016</v>
      </c>
      <c r="C9" s="36">
        <v>2015</v>
      </c>
      <c r="E9" s="35" t="s">
        <v>5</v>
      </c>
      <c r="F9" s="36">
        <f>B9</f>
        <v>2016</v>
      </c>
      <c r="G9" s="36">
        <f>C9</f>
        <v>2015</v>
      </c>
    </row>
    <row r="10" spans="1:16" ht="8.25" customHeight="1" x14ac:dyDescent="0.25"/>
    <row r="11" spans="1:16" x14ac:dyDescent="0.25">
      <c r="A11" s="34" t="s">
        <v>2</v>
      </c>
      <c r="B11" s="34">
        <f>L5</f>
        <v>45500</v>
      </c>
      <c r="C11" s="34">
        <v>47000</v>
      </c>
      <c r="E11" s="34" t="s">
        <v>2</v>
      </c>
      <c r="F11" s="34">
        <f>'[13]2016'!$O$123</f>
        <v>4561</v>
      </c>
      <c r="G11" s="34">
        <v>7086</v>
      </c>
    </row>
    <row r="12" spans="1:16" x14ac:dyDescent="0.25">
      <c r="A12" s="34" t="s">
        <v>137</v>
      </c>
      <c r="B12" s="34">
        <f>M5</f>
        <v>1625</v>
      </c>
      <c r="C12" s="34">
        <v>1200</v>
      </c>
      <c r="E12" s="34" t="s">
        <v>6</v>
      </c>
      <c r="F12" s="34">
        <f>'[13]2016'!$K$123</f>
        <v>11225.95</v>
      </c>
      <c r="G12" s="34">
        <v>11994.74</v>
      </c>
      <c r="I12" s="37"/>
      <c r="J12" s="38"/>
      <c r="K12" s="38"/>
      <c r="L12" s="38"/>
      <c r="M12" s="38"/>
      <c r="N12" s="38"/>
    </row>
    <row r="13" spans="1:16" x14ac:dyDescent="0.25">
      <c r="A13" s="34" t="s">
        <v>3</v>
      </c>
      <c r="B13" s="34">
        <f>'[13]2016'!$J$123</f>
        <v>3681.1499999999996</v>
      </c>
      <c r="C13" s="34">
        <v>1711.35</v>
      </c>
      <c r="E13" s="34" t="s">
        <v>7</v>
      </c>
      <c r="F13" s="34">
        <f>E87</f>
        <v>19449.12</v>
      </c>
      <c r="G13" s="34">
        <v>29741.260000000002</v>
      </c>
    </row>
    <row r="14" spans="1:16" x14ac:dyDescent="0.25">
      <c r="A14" s="34" t="s">
        <v>114</v>
      </c>
      <c r="B14" s="47">
        <f>E92</f>
        <v>-10844.150000000009</v>
      </c>
      <c r="C14" s="47">
        <v>2966.65</v>
      </c>
      <c r="E14" s="34" t="s">
        <v>8</v>
      </c>
      <c r="F14" s="34">
        <f>'[13]2016'!$P$123</f>
        <v>6633</v>
      </c>
      <c r="G14" s="34">
        <v>6589.25</v>
      </c>
    </row>
    <row r="15" spans="1:16" ht="15.75" thickBot="1" x14ac:dyDescent="0.3">
      <c r="B15" s="39">
        <f>SUM(B11:B14)</f>
        <v>39961.999999999993</v>
      </c>
      <c r="C15" s="39">
        <f>SUM(C11:C14)</f>
        <v>52878</v>
      </c>
      <c r="E15" s="34" t="s">
        <v>11</v>
      </c>
      <c r="F15" s="34">
        <f>'[13]2016'!$Q$123</f>
        <v>0</v>
      </c>
      <c r="G15" s="34">
        <v>0</v>
      </c>
    </row>
    <row r="16" spans="1:16" ht="15.75" thickTop="1" x14ac:dyDescent="0.25">
      <c r="E16" s="34" t="s">
        <v>9</v>
      </c>
      <c r="F16" s="34">
        <f>'[13]2016'!$R$123</f>
        <v>300</v>
      </c>
      <c r="G16" s="34">
        <v>1066.53</v>
      </c>
    </row>
    <row r="17" spans="1:13" x14ac:dyDescent="0.25">
      <c r="E17" s="34" t="s">
        <v>4</v>
      </c>
      <c r="F17" s="34">
        <f>'[13]2016'!$N$123</f>
        <v>0</v>
      </c>
      <c r="G17" s="34">
        <v>690</v>
      </c>
      <c r="I17" s="34" t="s">
        <v>37</v>
      </c>
    </row>
    <row r="18" spans="1:13" x14ac:dyDescent="0.25">
      <c r="E18" s="34" t="s">
        <v>117</v>
      </c>
      <c r="F18" s="47">
        <f>I18</f>
        <v>-2207.070000000007</v>
      </c>
      <c r="G18" s="47">
        <v>-4289.7799999999988</v>
      </c>
      <c r="I18" s="34">
        <f>+B15-SUM(F11:F17)-M22</f>
        <v>-2207.070000000007</v>
      </c>
      <c r="K18" s="34" t="s">
        <v>72</v>
      </c>
      <c r="M18" s="34">
        <f>SUM(F11:F17)</f>
        <v>42169.07</v>
      </c>
    </row>
    <row r="19" spans="1:13" ht="15.75" thickBot="1" x14ac:dyDescent="0.3">
      <c r="F19" s="39">
        <f>SUM(F11:F18)</f>
        <v>39961.999999999993</v>
      </c>
      <c r="G19" s="39">
        <f>SUM(G11:G18)</f>
        <v>52878</v>
      </c>
      <c r="K19" s="34" t="s">
        <v>71</v>
      </c>
      <c r="M19" s="34">
        <f>'[13]2016'!$K$125</f>
        <v>-42169.07</v>
      </c>
    </row>
    <row r="20" spans="1:13" ht="15.75" thickTop="1" x14ac:dyDescent="0.25">
      <c r="M20" s="34">
        <f>SUM(M18:M19)</f>
        <v>0</v>
      </c>
    </row>
    <row r="23" spans="1:13" x14ac:dyDescent="0.25">
      <c r="A23" s="58" t="s">
        <v>192</v>
      </c>
      <c r="B23" s="58"/>
      <c r="C23" s="58"/>
      <c r="D23" s="58"/>
      <c r="E23" s="58"/>
      <c r="F23" s="58"/>
      <c r="G23" s="58"/>
    </row>
    <row r="25" spans="1:13" x14ac:dyDescent="0.25">
      <c r="A25" s="35" t="s">
        <v>14</v>
      </c>
      <c r="B25" s="36">
        <f>B9</f>
        <v>2016</v>
      </c>
      <c r="C25" s="36">
        <f>C9</f>
        <v>2015</v>
      </c>
      <c r="E25" s="35" t="s">
        <v>15</v>
      </c>
      <c r="F25" s="36">
        <f>B9</f>
        <v>2016</v>
      </c>
      <c r="G25" s="36">
        <f>C9</f>
        <v>2015</v>
      </c>
    </row>
    <row r="26" spans="1:13" ht="8.25" customHeight="1" x14ac:dyDescent="0.25"/>
    <row r="27" spans="1:13" x14ac:dyDescent="0.25">
      <c r="A27" s="34" t="s">
        <v>18</v>
      </c>
      <c r="B27" s="34">
        <f>'[13]2016'!$G$123</f>
        <v>65929.08</v>
      </c>
      <c r="C27" s="34">
        <v>57291.999999999978</v>
      </c>
      <c r="E27" s="34" t="s">
        <v>21</v>
      </c>
      <c r="F27" s="34">
        <f>+G31</f>
        <v>173015.9</v>
      </c>
      <c r="G27" s="34">
        <v>177305.68</v>
      </c>
    </row>
    <row r="28" spans="1:13" x14ac:dyDescent="0.25">
      <c r="A28" s="34" t="s">
        <v>19</v>
      </c>
      <c r="B28" s="34">
        <v>0</v>
      </c>
      <c r="C28" s="34">
        <v>0</v>
      </c>
      <c r="E28" s="34" t="s">
        <v>117</v>
      </c>
      <c r="F28" s="47">
        <f>+F18</f>
        <v>-2207.070000000007</v>
      </c>
      <c r="G28" s="47">
        <v>-4289.7799999999988</v>
      </c>
    </row>
    <row r="29" spans="1:13" x14ac:dyDescent="0.25">
      <c r="A29" s="34" t="s">
        <v>20</v>
      </c>
      <c r="B29" s="34">
        <f>E98</f>
        <v>104879.74999999999</v>
      </c>
      <c r="C29" s="34">
        <v>115723.9</v>
      </c>
      <c r="H29" s="34" t="s">
        <v>35</v>
      </c>
    </row>
    <row r="30" spans="1:13" x14ac:dyDescent="0.25">
      <c r="H30" s="34">
        <f>B28-C28</f>
        <v>0</v>
      </c>
      <c r="M30" s="34">
        <f>+F31-B31</f>
        <v>0</v>
      </c>
    </row>
    <row r="31" spans="1:13" ht="15.75" thickBot="1" x14ac:dyDescent="0.3">
      <c r="B31" s="39">
        <f>SUM(B27:B29)</f>
        <v>170808.83</v>
      </c>
      <c r="C31" s="39">
        <f>SUM(C27:C29)</f>
        <v>173015.89999999997</v>
      </c>
      <c r="E31" s="34" t="s">
        <v>22</v>
      </c>
      <c r="F31" s="39">
        <f>SUM(F27:F30)</f>
        <v>170808.83</v>
      </c>
      <c r="G31" s="39">
        <f>SUM(G27:G28)</f>
        <v>173015.9</v>
      </c>
      <c r="H31" s="34">
        <f>B29-C29</f>
        <v>-10844.150000000009</v>
      </c>
      <c r="I31" s="34" t="s">
        <v>36</v>
      </c>
    </row>
    <row r="32" spans="1:13" ht="15.75" thickTop="1" x14ac:dyDescent="0.25">
      <c r="F32" s="40"/>
      <c r="G32" s="40"/>
      <c r="H32" s="34">
        <f>SUM(H30:H31)</f>
        <v>-10844.150000000009</v>
      </c>
      <c r="I32" s="34">
        <f>+B31-F31</f>
        <v>0</v>
      </c>
    </row>
    <row r="33" spans="1:9" x14ac:dyDescent="0.25">
      <c r="I33" s="34" t="s">
        <v>172</v>
      </c>
    </row>
    <row r="34" spans="1:9" x14ac:dyDescent="0.25">
      <c r="H34" s="34">
        <f>+H32-H33</f>
        <v>-10844.150000000009</v>
      </c>
    </row>
    <row r="35" spans="1:9" x14ac:dyDescent="0.25">
      <c r="A35" s="34" t="s">
        <v>193</v>
      </c>
    </row>
    <row r="39" spans="1:9" x14ac:dyDescent="0.25">
      <c r="G39" s="41" t="s">
        <v>30</v>
      </c>
    </row>
    <row r="42" spans="1:9" x14ac:dyDescent="0.25">
      <c r="A42" s="34" t="s">
        <v>184</v>
      </c>
    </row>
    <row r="44" spans="1:9" x14ac:dyDescent="0.25">
      <c r="A44" s="42" t="s">
        <v>23</v>
      </c>
    </row>
    <row r="45" spans="1:9" x14ac:dyDescent="0.25">
      <c r="A45" s="34" t="s">
        <v>103</v>
      </c>
    </row>
    <row r="46" spans="1:9" x14ac:dyDescent="0.25">
      <c r="A46" s="34" t="s">
        <v>27</v>
      </c>
    </row>
    <row r="50" spans="1:15" x14ac:dyDescent="0.25">
      <c r="B50" s="34" t="s">
        <v>102</v>
      </c>
      <c r="F50" s="41" t="s">
        <v>185</v>
      </c>
    </row>
    <row r="54" spans="1:15" x14ac:dyDescent="0.25">
      <c r="A54" s="35" t="s">
        <v>201</v>
      </c>
    </row>
    <row r="55" spans="1:15" x14ac:dyDescent="0.25">
      <c r="A55" s="35"/>
    </row>
    <row r="56" spans="1:15" x14ac:dyDescent="0.25">
      <c r="A56" s="35"/>
      <c r="B56" s="43" t="s">
        <v>57</v>
      </c>
    </row>
    <row r="57" spans="1:15" x14ac:dyDescent="0.25">
      <c r="A57" s="35"/>
    </row>
    <row r="58" spans="1:15" x14ac:dyDescent="0.25">
      <c r="A58" s="35"/>
      <c r="B58" s="44" t="s">
        <v>39</v>
      </c>
    </row>
    <row r="59" spans="1:15" x14ac:dyDescent="0.25">
      <c r="M59" s="34">
        <v>477</v>
      </c>
      <c r="N59" s="34" t="s">
        <v>125</v>
      </c>
    </row>
    <row r="60" spans="1:15" x14ac:dyDescent="0.25">
      <c r="B60" s="34" t="s">
        <v>194</v>
      </c>
      <c r="M60" s="34">
        <v>-23</v>
      </c>
      <c r="N60" s="34" t="s">
        <v>126</v>
      </c>
    </row>
    <row r="61" spans="1:15" x14ac:dyDescent="0.25">
      <c r="B61" s="34" t="s">
        <v>195</v>
      </c>
      <c r="M61" s="34">
        <v>8</v>
      </c>
      <c r="N61" s="34" t="s">
        <v>127</v>
      </c>
      <c r="O61" s="34">
        <f>SUM(M60:M61)</f>
        <v>-15</v>
      </c>
    </row>
    <row r="62" spans="1:15" x14ac:dyDescent="0.25">
      <c r="B62" s="34" t="s">
        <v>196</v>
      </c>
      <c r="M62" s="34">
        <f>SUM(M59:M61)</f>
        <v>462</v>
      </c>
      <c r="N62" s="34" t="s">
        <v>124</v>
      </c>
    </row>
    <row r="63" spans="1:15" x14ac:dyDescent="0.25">
      <c r="B63" s="34" t="s">
        <v>101</v>
      </c>
    </row>
    <row r="66" spans="2:13" x14ac:dyDescent="0.25">
      <c r="B66" s="44" t="s">
        <v>43</v>
      </c>
      <c r="E66" s="45">
        <f>B9</f>
        <v>2016</v>
      </c>
      <c r="G66" s="45">
        <f>C9</f>
        <v>2015</v>
      </c>
    </row>
    <row r="67" spans="2:13" x14ac:dyDescent="0.25">
      <c r="B67" s="34" t="s">
        <v>108</v>
      </c>
      <c r="E67" s="34">
        <v>465.06</v>
      </c>
      <c r="G67" s="34">
        <v>953.12</v>
      </c>
    </row>
    <row r="68" spans="2:13" x14ac:dyDescent="0.25">
      <c r="B68" s="34" t="s">
        <v>20</v>
      </c>
      <c r="E68" s="46">
        <f>1535.92+612.03+781.25+286.89</f>
        <v>3216.0899999999997</v>
      </c>
      <c r="G68" s="46">
        <v>758.23</v>
      </c>
    </row>
    <row r="69" spans="2:13" x14ac:dyDescent="0.25">
      <c r="E69" s="34">
        <f>SUM(E67:E68)</f>
        <v>3681.1499999999996</v>
      </c>
      <c r="G69" s="34">
        <f>SUM(G67:G68)</f>
        <v>1711.35</v>
      </c>
      <c r="I69" s="34">
        <f>B13</f>
        <v>3681.1499999999996</v>
      </c>
      <c r="J69" s="34">
        <f>E69</f>
        <v>3681.1499999999996</v>
      </c>
      <c r="K69" s="34">
        <f>+I69-J69</f>
        <v>0</v>
      </c>
    </row>
    <row r="71" spans="2:13" x14ac:dyDescent="0.25">
      <c r="B71" s="43" t="s">
        <v>58</v>
      </c>
    </row>
    <row r="73" spans="2:13" x14ac:dyDescent="0.25">
      <c r="B73" s="44" t="s">
        <v>39</v>
      </c>
      <c r="E73" s="45">
        <f>B9</f>
        <v>2016</v>
      </c>
      <c r="G73" s="45">
        <f>C9</f>
        <v>2015</v>
      </c>
    </row>
    <row r="74" spans="2:13" x14ac:dyDescent="0.25">
      <c r="B74" s="34" t="s">
        <v>197</v>
      </c>
      <c r="E74" s="34">
        <f>45+45</f>
        <v>90</v>
      </c>
      <c r="G74" s="34">
        <v>381</v>
      </c>
    </row>
    <row r="75" spans="2:13" x14ac:dyDescent="0.25">
      <c r="B75" s="34" t="s">
        <v>200</v>
      </c>
      <c r="E75" s="34">
        <f>168+168</f>
        <v>336</v>
      </c>
    </row>
    <row r="76" spans="2:13" x14ac:dyDescent="0.25">
      <c r="B76" s="34" t="s">
        <v>198</v>
      </c>
      <c r="E76" s="34">
        <v>1750</v>
      </c>
      <c r="G76" s="34">
        <v>1750</v>
      </c>
    </row>
    <row r="77" spans="2:13" x14ac:dyDescent="0.25">
      <c r="B77" s="34" t="s">
        <v>199</v>
      </c>
      <c r="E77" s="34">
        <v>2385</v>
      </c>
      <c r="G77" s="34">
        <v>4955</v>
      </c>
    </row>
    <row r="78" spans="2:13" x14ac:dyDescent="0.25">
      <c r="E78" s="54">
        <f>SUM(E74:E77)</f>
        <v>4561</v>
      </c>
      <c r="G78" s="54">
        <f>SUM(G74:G77)</f>
        <v>7086</v>
      </c>
    </row>
    <row r="79" spans="2:13" x14ac:dyDescent="0.25">
      <c r="M79" s="34" t="s">
        <v>168</v>
      </c>
    </row>
    <row r="80" spans="2:13" x14ac:dyDescent="0.25">
      <c r="B80" s="44" t="s">
        <v>47</v>
      </c>
      <c r="E80" s="45">
        <f>B9</f>
        <v>2016</v>
      </c>
      <c r="G80" s="45">
        <f>G66</f>
        <v>2015</v>
      </c>
      <c r="H80" s="41" t="s">
        <v>150</v>
      </c>
      <c r="L80" s="34" t="s">
        <v>179</v>
      </c>
      <c r="M80" s="34">
        <v>200</v>
      </c>
    </row>
    <row r="81" spans="2:13" x14ac:dyDescent="0.25">
      <c r="B81" s="34" t="s">
        <v>48</v>
      </c>
      <c r="E81" s="34">
        <f>'[13]2016'!$L$123</f>
        <v>5196</v>
      </c>
      <c r="G81" s="34">
        <v>6741</v>
      </c>
      <c r="H81" s="50">
        <f t="shared" ref="H81:H86" si="0">E81/G81-1</f>
        <v>-0.22919448153093014</v>
      </c>
      <c r="L81" s="34" t="s">
        <v>180</v>
      </c>
      <c r="M81" s="34">
        <v>2995</v>
      </c>
    </row>
    <row r="82" spans="2:13" x14ac:dyDescent="0.25">
      <c r="B82" s="34" t="s">
        <v>49</v>
      </c>
      <c r="E82" s="34">
        <f>'[13]2016'!$M$123</f>
        <v>1814.06</v>
      </c>
      <c r="G82" s="34">
        <v>885.51</v>
      </c>
      <c r="H82" s="50">
        <f t="shared" si="0"/>
        <v>1.0486047588395389</v>
      </c>
      <c r="L82" s="34" t="s">
        <v>179</v>
      </c>
      <c r="M82" s="34">
        <v>2123.75</v>
      </c>
    </row>
    <row r="83" spans="2:13" x14ac:dyDescent="0.25">
      <c r="B83" s="34" t="s">
        <v>157</v>
      </c>
      <c r="E83" s="34">
        <f>'[13]2016'!$S$123</f>
        <v>10950</v>
      </c>
      <c r="G83" s="34">
        <v>10775</v>
      </c>
      <c r="H83" s="50">
        <f t="shared" si="0"/>
        <v>1.6241299303944245E-2</v>
      </c>
    </row>
    <row r="84" spans="2:13" x14ac:dyDescent="0.25">
      <c r="B84" s="34" t="s">
        <v>167</v>
      </c>
      <c r="E84" s="40">
        <v>0</v>
      </c>
      <c r="G84" s="40">
        <v>6021</v>
      </c>
      <c r="H84" s="50">
        <f t="shared" si="0"/>
        <v>-1</v>
      </c>
      <c r="M84" s="34">
        <f>SUM(M80:M83)</f>
        <v>5318.75</v>
      </c>
    </row>
    <row r="85" spans="2:13" x14ac:dyDescent="0.25">
      <c r="B85" s="34" t="s">
        <v>188</v>
      </c>
      <c r="E85" s="40">
        <f>'[13]2016'!$V$35</f>
        <v>810</v>
      </c>
      <c r="G85" s="40">
        <v>0</v>
      </c>
      <c r="H85" s="50" t="e">
        <f t="shared" si="0"/>
        <v>#DIV/0!</v>
      </c>
    </row>
    <row r="86" spans="2:13" x14ac:dyDescent="0.25">
      <c r="B86" s="34" t="s">
        <v>111</v>
      </c>
      <c r="E86" s="46">
        <f>'[13]2016'!$V$27</f>
        <v>679.06</v>
      </c>
      <c r="G86" s="46">
        <v>5318.75</v>
      </c>
      <c r="H86" s="50">
        <f t="shared" si="0"/>
        <v>-0.87232714453584026</v>
      </c>
    </row>
    <row r="87" spans="2:13" x14ac:dyDescent="0.25">
      <c r="E87" s="34">
        <f>SUM(E81:E86)</f>
        <v>19449.12</v>
      </c>
      <c r="G87" s="34">
        <f>SUM(G81:G86)</f>
        <v>29741.260000000002</v>
      </c>
    </row>
    <row r="89" spans="2:13" x14ac:dyDescent="0.25">
      <c r="B89" s="44" t="s">
        <v>142</v>
      </c>
      <c r="E89" s="45">
        <f>B9</f>
        <v>2016</v>
      </c>
      <c r="G89" s="45">
        <f>G66</f>
        <v>2015</v>
      </c>
    </row>
    <row r="90" spans="2:13" x14ac:dyDescent="0.25">
      <c r="B90" s="34" t="s">
        <v>19</v>
      </c>
      <c r="E90" s="47">
        <f>H30</f>
        <v>0</v>
      </c>
      <c r="G90" s="51"/>
    </row>
    <row r="91" spans="2:13" x14ac:dyDescent="0.25">
      <c r="B91" s="34" t="s">
        <v>20</v>
      </c>
      <c r="E91" s="48">
        <f>H31</f>
        <v>-10844.150000000009</v>
      </c>
      <c r="G91" s="48">
        <v>2966.5</v>
      </c>
    </row>
    <row r="92" spans="2:13" x14ac:dyDescent="0.25">
      <c r="E92" s="47">
        <f>SUM(E90:E91)</f>
        <v>-10844.150000000009</v>
      </c>
      <c r="G92" s="47">
        <f>SUM(G90:G91)</f>
        <v>2966.5</v>
      </c>
    </row>
    <row r="94" spans="2:13" x14ac:dyDescent="0.25">
      <c r="B94" s="40" t="s">
        <v>55</v>
      </c>
      <c r="E94" s="45">
        <v>2016</v>
      </c>
      <c r="F94" s="45">
        <v>2015</v>
      </c>
      <c r="G94" s="45" t="s">
        <v>173</v>
      </c>
    </row>
    <row r="95" spans="2:13" x14ac:dyDescent="0.25">
      <c r="B95" s="34" t="s">
        <v>189</v>
      </c>
      <c r="E95" s="51">
        <f>263*214.2</f>
        <v>56334.6</v>
      </c>
      <c r="F95" s="51">
        <v>48707.6</v>
      </c>
      <c r="G95" s="51">
        <f>-F95+E95</f>
        <v>7627</v>
      </c>
    </row>
    <row r="96" spans="2:13" x14ac:dyDescent="0.25">
      <c r="B96" s="34" t="s">
        <v>190</v>
      </c>
      <c r="E96" s="51">
        <f>131*254.7</f>
        <v>33365.699999999997</v>
      </c>
      <c r="F96" s="51">
        <v>52386.9</v>
      </c>
      <c r="G96" s="51">
        <f t="shared" ref="G96:G97" si="1">-F96+E96</f>
        <v>-19021.200000000004</v>
      </c>
    </row>
    <row r="97" spans="2:7" x14ac:dyDescent="0.25">
      <c r="B97" s="34" t="s">
        <v>191</v>
      </c>
      <c r="E97" s="51">
        <f>193*78.65</f>
        <v>15179.45</v>
      </c>
      <c r="F97" s="51">
        <v>14629.4</v>
      </c>
      <c r="G97" s="51">
        <f t="shared" si="1"/>
        <v>550.05000000000109</v>
      </c>
    </row>
    <row r="98" spans="2:7" x14ac:dyDescent="0.25">
      <c r="E98" s="53">
        <f>SUM(E95:E97)</f>
        <v>104879.74999999999</v>
      </c>
      <c r="F98" s="53">
        <f>SUM(F95:F97)</f>
        <v>115723.9</v>
      </c>
      <c r="G98" s="53">
        <f>SUM(G95:G97)</f>
        <v>-10844.150000000003</v>
      </c>
    </row>
  </sheetData>
  <mergeCells count="2">
    <mergeCell ref="A7:G7"/>
    <mergeCell ref="A23:G23"/>
  </mergeCells>
  <pageMargins left="0.59055118110236227" right="0.23622047244094491" top="0.39370078740157483" bottom="0.98425196850393704" header="0" footer="0"/>
  <pageSetup paperSize="9" orientation="portrait" horizontalDpi="4294967293" verticalDpi="300" r:id="rId1"/>
  <headerFooter alignWithMargins="0">
    <oddFooter>&amp;C&amp;"Calibri,Normal"Side &amp;P af &amp;N sider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18"/>
  <sheetViews>
    <sheetView workbookViewId="0">
      <selection activeCell="I22" sqref="I22"/>
    </sheetView>
  </sheetViews>
  <sheetFormatPr defaultRowHeight="12.75" x14ac:dyDescent="0.2"/>
  <cols>
    <col min="1" max="1" width="17.28515625" customWidth="1"/>
    <col min="2" max="2" width="11" customWidth="1"/>
    <col min="3" max="3" width="12.85546875" customWidth="1"/>
    <col min="4" max="4" width="6.85546875" customWidth="1"/>
    <col min="5" max="5" width="17.28515625" customWidth="1"/>
    <col min="6" max="6" width="11" customWidth="1"/>
    <col min="7" max="7" width="12.85546875" customWidth="1"/>
    <col min="9" max="9" width="10.140625" bestFit="1" customWidth="1"/>
    <col min="12" max="13" width="9.7109375" bestFit="1" customWidth="1"/>
  </cols>
  <sheetData>
    <row r="6" spans="1:11" ht="18" x14ac:dyDescent="0.25">
      <c r="B6" s="8" t="s">
        <v>0</v>
      </c>
    </row>
    <row r="7" spans="1:11" x14ac:dyDescent="0.2">
      <c r="B7" s="1"/>
    </row>
    <row r="8" spans="1:11" x14ac:dyDescent="0.2">
      <c r="B8" s="1"/>
    </row>
    <row r="9" spans="1:11" x14ac:dyDescent="0.2">
      <c r="J9">
        <v>53045</v>
      </c>
    </row>
    <row r="10" spans="1:11" x14ac:dyDescent="0.2">
      <c r="A10" s="55" t="s">
        <v>67</v>
      </c>
      <c r="B10" s="55"/>
      <c r="C10" s="55"/>
      <c r="D10" s="55"/>
      <c r="E10" s="55"/>
      <c r="F10" s="55"/>
      <c r="G10" s="55"/>
      <c r="J10">
        <v>70</v>
      </c>
    </row>
    <row r="11" spans="1:11" x14ac:dyDescent="0.2">
      <c r="J11">
        <v>-300</v>
      </c>
    </row>
    <row r="12" spans="1:11" x14ac:dyDescent="0.2">
      <c r="A12" s="4" t="s">
        <v>1</v>
      </c>
      <c r="B12" s="5">
        <v>2008</v>
      </c>
      <c r="C12" s="5">
        <v>2007</v>
      </c>
      <c r="E12" s="4" t="s">
        <v>5</v>
      </c>
      <c r="F12" s="5">
        <f>B12</f>
        <v>2008</v>
      </c>
      <c r="G12" s="5">
        <v>2007</v>
      </c>
      <c r="H12" s="2"/>
      <c r="I12" s="2"/>
      <c r="J12" s="2">
        <v>-175</v>
      </c>
      <c r="K12" s="2"/>
    </row>
    <row r="13" spans="1:11" ht="8.2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">
      <c r="A14" s="2" t="s">
        <v>2</v>
      </c>
      <c r="B14" s="2">
        <f>'[2]2008'!$H$123</f>
        <v>53045</v>
      </c>
      <c r="C14" s="2">
        <v>34206</v>
      </c>
      <c r="D14" s="2"/>
      <c r="E14" s="2" t="s">
        <v>2</v>
      </c>
      <c r="F14" s="2">
        <f>'[2]2008'!$O$123</f>
        <v>3795</v>
      </c>
      <c r="G14" s="2">
        <v>4075</v>
      </c>
      <c r="H14" s="2"/>
      <c r="I14" s="2"/>
      <c r="J14" s="2">
        <f>SUM(J9:J13)</f>
        <v>52640</v>
      </c>
      <c r="K14" s="2"/>
    </row>
    <row r="15" spans="1:11" x14ac:dyDescent="0.2">
      <c r="A15" s="2" t="s">
        <v>3</v>
      </c>
      <c r="B15" s="2">
        <f>'[2]2008'!$J$123</f>
        <v>2704.7400000000002</v>
      </c>
      <c r="C15" s="2">
        <v>2896.53</v>
      </c>
      <c r="D15" s="2"/>
      <c r="E15" s="2" t="s">
        <v>6</v>
      </c>
      <c r="F15" s="2">
        <f>'[2]2008'!$K$123</f>
        <v>7771.15</v>
      </c>
      <c r="G15" s="2">
        <v>8965</v>
      </c>
      <c r="H15" s="2"/>
      <c r="I15" s="2"/>
      <c r="J15" s="2">
        <v>50300</v>
      </c>
      <c r="K15" s="2"/>
    </row>
    <row r="16" spans="1:11" x14ac:dyDescent="0.2">
      <c r="A16" s="2" t="s">
        <v>10</v>
      </c>
      <c r="B16" s="2"/>
      <c r="C16" s="2">
        <v>0</v>
      </c>
      <c r="D16" s="2"/>
      <c r="E16" s="2" t="s">
        <v>7</v>
      </c>
      <c r="F16" s="2">
        <f>E99</f>
        <v>22674.79</v>
      </c>
      <c r="G16" s="2">
        <v>14309.19</v>
      </c>
      <c r="H16" s="2"/>
      <c r="I16" s="2"/>
      <c r="J16" s="2">
        <f>+J14-J15</f>
        <v>2340</v>
      </c>
      <c r="K16" s="2"/>
    </row>
    <row r="17" spans="1:13" x14ac:dyDescent="0.2">
      <c r="A17" s="2" t="s">
        <v>4</v>
      </c>
      <c r="B17" s="2">
        <v>0</v>
      </c>
      <c r="C17" s="2">
        <v>0</v>
      </c>
      <c r="D17" s="2"/>
      <c r="E17" s="2" t="s">
        <v>8</v>
      </c>
      <c r="F17" s="2">
        <f>'[2]2008'!$P$123</f>
        <v>5703.4</v>
      </c>
      <c r="G17" s="2">
        <v>6601</v>
      </c>
      <c r="H17" s="2"/>
      <c r="I17" s="2"/>
      <c r="J17" s="2"/>
      <c r="K17" s="2"/>
    </row>
    <row r="18" spans="1:13" ht="13.5" thickBot="1" x14ac:dyDescent="0.25">
      <c r="A18" s="2"/>
      <c r="B18" s="3">
        <f>SUM(B14:B17)</f>
        <v>55749.74</v>
      </c>
      <c r="C18" s="3">
        <f>SUM(C14:C17)</f>
        <v>37102.53</v>
      </c>
      <c r="D18" s="2"/>
      <c r="E18" s="2" t="s">
        <v>11</v>
      </c>
      <c r="F18" s="2">
        <v>0</v>
      </c>
      <c r="G18" s="2">
        <v>0</v>
      </c>
      <c r="H18" s="2"/>
      <c r="I18" s="2"/>
      <c r="J18" s="2"/>
      <c r="K18" s="2"/>
    </row>
    <row r="19" spans="1:13" ht="13.5" thickTop="1" x14ac:dyDescent="0.2">
      <c r="A19" s="2"/>
      <c r="B19" s="2"/>
      <c r="C19" s="2"/>
      <c r="D19" s="2"/>
      <c r="E19" s="2" t="s">
        <v>9</v>
      </c>
      <c r="F19" s="2">
        <f>'[2]2008'!$R$123</f>
        <v>475</v>
      </c>
      <c r="G19" s="2">
        <v>386.5</v>
      </c>
      <c r="H19" s="2"/>
      <c r="I19" s="2"/>
      <c r="J19" s="2"/>
      <c r="K19" s="2"/>
    </row>
    <row r="20" spans="1:13" x14ac:dyDescent="0.2">
      <c r="A20" s="2"/>
      <c r="B20" s="2"/>
      <c r="C20" s="2"/>
      <c r="D20" s="2"/>
      <c r="E20" s="2" t="s">
        <v>12</v>
      </c>
      <c r="F20" s="2">
        <f>-E106</f>
        <v>457.42999999999574</v>
      </c>
      <c r="G20" s="2">
        <v>470.4</v>
      </c>
      <c r="H20" s="2"/>
      <c r="I20" s="2"/>
      <c r="J20" s="2"/>
      <c r="K20" s="2"/>
    </row>
    <row r="21" spans="1:13" x14ac:dyDescent="0.2">
      <c r="A21" s="2"/>
      <c r="B21" s="2"/>
      <c r="C21" s="2"/>
      <c r="D21" s="2"/>
      <c r="E21" s="2" t="s">
        <v>4</v>
      </c>
      <c r="F21" s="2">
        <v>0</v>
      </c>
      <c r="G21" s="2">
        <v>0</v>
      </c>
      <c r="H21" s="2"/>
      <c r="I21" s="2" t="s">
        <v>37</v>
      </c>
      <c r="J21" s="2"/>
      <c r="K21" s="2"/>
    </row>
    <row r="22" spans="1:13" x14ac:dyDescent="0.2">
      <c r="A22" s="2"/>
      <c r="B22" s="2"/>
      <c r="C22" s="2"/>
      <c r="D22" s="2"/>
      <c r="E22" s="2" t="s">
        <v>31</v>
      </c>
      <c r="F22" s="2">
        <f>I22</f>
        <v>14872.970000000001</v>
      </c>
      <c r="G22" s="2">
        <v>2295.44</v>
      </c>
      <c r="H22" s="2"/>
      <c r="I22" s="2">
        <f>+B18-SUM(F14:F21)</f>
        <v>14872.970000000001</v>
      </c>
      <c r="J22" s="2"/>
      <c r="K22" s="2" t="s">
        <v>72</v>
      </c>
      <c r="M22" s="2">
        <f>SUM(F14:F19)</f>
        <v>40419.340000000004</v>
      </c>
    </row>
    <row r="23" spans="1:13" ht="13.5" thickBot="1" x14ac:dyDescent="0.25">
      <c r="A23" s="2"/>
      <c r="B23" s="2"/>
      <c r="C23" s="2"/>
      <c r="D23" s="2"/>
      <c r="E23" s="2"/>
      <c r="F23" s="3">
        <f>SUM(F14:F22)</f>
        <v>55749.74</v>
      </c>
      <c r="G23" s="3">
        <f>SUM(G14:G22)</f>
        <v>37102.530000000006</v>
      </c>
      <c r="H23" s="2"/>
      <c r="I23" s="2"/>
      <c r="J23" s="2"/>
      <c r="K23" s="2" t="s">
        <v>71</v>
      </c>
      <c r="M23" s="2">
        <f>'[2]2008'!$K$125</f>
        <v>-47019.34</v>
      </c>
    </row>
    <row r="24" spans="1:13" ht="13.5" thickTop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M24" s="2">
        <f>SUM(M22:M23)</f>
        <v>-6599.9999999999927</v>
      </c>
    </row>
    <row r="25" spans="1:13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3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3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3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3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3" x14ac:dyDescent="0.2">
      <c r="A30" s="56" t="s">
        <v>76</v>
      </c>
      <c r="B30" s="56"/>
      <c r="C30" s="56"/>
      <c r="D30" s="56"/>
      <c r="E30" s="56"/>
      <c r="F30" s="56"/>
      <c r="G30" s="56"/>
      <c r="H30" s="2"/>
      <c r="I30" s="2"/>
      <c r="J30" s="2"/>
      <c r="K30" s="2"/>
      <c r="L30" s="16"/>
    </row>
    <row r="31" spans="1:13" x14ac:dyDescent="0.2">
      <c r="A31" s="2"/>
      <c r="B31" s="2"/>
      <c r="C31" s="2"/>
      <c r="D31" s="2"/>
      <c r="H31" s="2"/>
      <c r="I31" s="2"/>
      <c r="J31" s="2"/>
      <c r="K31" s="2"/>
    </row>
    <row r="32" spans="1:13" x14ac:dyDescent="0.2">
      <c r="A32" s="4" t="s">
        <v>14</v>
      </c>
      <c r="B32" s="5">
        <f>B12</f>
        <v>2008</v>
      </c>
      <c r="C32" s="5">
        <v>2007</v>
      </c>
      <c r="D32" s="2"/>
      <c r="E32" s="4" t="s">
        <v>15</v>
      </c>
      <c r="F32" s="5">
        <v>2008</v>
      </c>
      <c r="G32" s="5">
        <v>2007</v>
      </c>
      <c r="H32" s="2"/>
      <c r="I32" s="2"/>
      <c r="J32" s="2"/>
      <c r="K32" s="2"/>
    </row>
    <row r="33" spans="1:11" ht="8.2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">
      <c r="A34" s="2" t="s">
        <v>16</v>
      </c>
      <c r="B34" s="2">
        <f>'[2]2008'!$E$123</f>
        <v>213.05000000000018</v>
      </c>
      <c r="C34" s="2">
        <v>13.050000000000182</v>
      </c>
      <c r="D34" s="2"/>
      <c r="E34" s="2" t="s">
        <v>21</v>
      </c>
      <c r="F34" s="2">
        <f>+G36</f>
        <v>142360.13</v>
      </c>
      <c r="G34" s="2">
        <v>140064.69</v>
      </c>
      <c r="H34" s="2"/>
      <c r="I34" s="2"/>
      <c r="J34" s="2"/>
      <c r="K34" s="2"/>
    </row>
    <row r="35" spans="1:11" x14ac:dyDescent="0.2">
      <c r="A35" s="2" t="s">
        <v>17</v>
      </c>
      <c r="B35" s="2">
        <f>'[2]2008'!$F$123</f>
        <v>0</v>
      </c>
      <c r="C35" s="2">
        <v>22279.91</v>
      </c>
      <c r="D35" s="2"/>
      <c r="E35" s="2" t="s">
        <v>31</v>
      </c>
      <c r="F35" s="2">
        <f>+F22</f>
        <v>14872.970000000001</v>
      </c>
      <c r="G35" s="2">
        <v>2295.44</v>
      </c>
      <c r="H35" s="2"/>
      <c r="I35" s="2"/>
      <c r="J35" s="2"/>
      <c r="K35" s="2"/>
    </row>
    <row r="36" spans="1:11" ht="13.5" thickBot="1" x14ac:dyDescent="0.25">
      <c r="A36" s="2" t="s">
        <v>18</v>
      </c>
      <c r="B36" s="2">
        <f>'[2]2008'!$G$123</f>
        <v>48885.329999999994</v>
      </c>
      <c r="C36" s="2">
        <v>18075.02</v>
      </c>
      <c r="D36" s="2"/>
      <c r="E36" s="2" t="s">
        <v>22</v>
      </c>
      <c r="F36" s="3">
        <f>SUM(F34:F35)</f>
        <v>157233.1</v>
      </c>
      <c r="G36" s="3">
        <f>SUM(G34:G35)</f>
        <v>142360.13</v>
      </c>
      <c r="H36" s="2" t="s">
        <v>35</v>
      </c>
      <c r="I36" s="2"/>
      <c r="J36" s="2"/>
      <c r="K36" s="2"/>
    </row>
    <row r="37" spans="1:11" ht="13.5" thickTop="1" x14ac:dyDescent="0.2">
      <c r="A37" s="2" t="s">
        <v>19</v>
      </c>
      <c r="B37" s="2">
        <v>103376.92</v>
      </c>
      <c r="C37" s="2">
        <v>98082.15</v>
      </c>
      <c r="D37" s="2"/>
      <c r="E37" s="2"/>
      <c r="F37" s="2"/>
      <c r="G37" s="2"/>
      <c r="H37" s="2">
        <f>B37-C37</f>
        <v>5294.7700000000041</v>
      </c>
      <c r="I37" s="2"/>
      <c r="J37" s="2"/>
      <c r="K37" s="2"/>
    </row>
    <row r="38" spans="1:11" x14ac:dyDescent="0.2">
      <c r="A38" s="2" t="s">
        <v>20</v>
      </c>
      <c r="B38" s="2">
        <v>4757.8</v>
      </c>
      <c r="C38" s="2">
        <v>10510</v>
      </c>
      <c r="D38" s="2"/>
      <c r="E38" s="2" t="s">
        <v>34</v>
      </c>
      <c r="F38" s="9">
        <v>0</v>
      </c>
      <c r="G38" s="9">
        <v>6600</v>
      </c>
      <c r="H38" s="2">
        <f>B38-C38</f>
        <v>-5752.2</v>
      </c>
      <c r="I38" s="2" t="s">
        <v>36</v>
      </c>
      <c r="J38" s="2"/>
      <c r="K38" s="2"/>
    </row>
    <row r="39" spans="1:11" ht="13.5" thickBot="1" x14ac:dyDescent="0.25">
      <c r="A39" s="2"/>
      <c r="B39" s="3">
        <f>SUM(B34:B38)</f>
        <v>157233.09999999998</v>
      </c>
      <c r="C39" s="3">
        <f>SUM(C34:C38)</f>
        <v>148960.13</v>
      </c>
      <c r="D39" s="2"/>
      <c r="E39" s="2"/>
      <c r="F39" s="3">
        <f>SUM(F36:F38)</f>
        <v>157233.1</v>
      </c>
      <c r="G39" s="3">
        <f>SUM(G36:G38)</f>
        <v>148960.13</v>
      </c>
      <c r="H39" s="2">
        <f>SUM(H37:H38)</f>
        <v>-457.42999999999574</v>
      </c>
      <c r="I39" s="2">
        <f>+B39-F39</f>
        <v>0</v>
      </c>
      <c r="J39" s="2"/>
      <c r="K39" s="2"/>
    </row>
    <row r="40" spans="1:11" ht="13.5" thickTop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">
      <c r="A42" s="2" t="s">
        <v>73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">
      <c r="A46" s="2"/>
      <c r="B46" s="2"/>
      <c r="D46" s="2"/>
      <c r="E46" s="2"/>
      <c r="G46" s="6" t="s">
        <v>30</v>
      </c>
      <c r="H46" s="2"/>
      <c r="I46" s="2"/>
      <c r="J46" s="2"/>
      <c r="K46" s="2"/>
    </row>
    <row r="47" spans="1:1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">
      <c r="A49" s="2" t="s">
        <v>61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">
      <c r="A51" s="7" t="s">
        <v>23</v>
      </c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">
      <c r="A52" s="2" t="s">
        <v>26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2" t="s">
        <v>27</v>
      </c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">
      <c r="B57" s="2" t="s">
        <v>24</v>
      </c>
      <c r="C57" s="2"/>
      <c r="D57" s="2"/>
      <c r="E57" s="2"/>
      <c r="F57" s="6" t="s">
        <v>25</v>
      </c>
      <c r="H57" s="2"/>
      <c r="I57" s="2"/>
      <c r="J57" s="2"/>
      <c r="K57" s="2"/>
    </row>
    <row r="58" spans="1:1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">
      <c r="A63" s="4" t="s">
        <v>62</v>
      </c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">
      <c r="A65" s="4"/>
      <c r="B65" s="11" t="s">
        <v>57</v>
      </c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">
      <c r="A67" s="4"/>
      <c r="B67" s="10" t="s">
        <v>39</v>
      </c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">
      <c r="A69" s="2"/>
      <c r="B69" s="2" t="s">
        <v>74</v>
      </c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">
      <c r="A70" s="2"/>
      <c r="B70" s="2" t="s">
        <v>63</v>
      </c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">
      <c r="A71" s="2"/>
      <c r="B71" s="2" t="s">
        <v>75</v>
      </c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">
      <c r="A72" s="2"/>
      <c r="B72" s="2"/>
      <c r="C72" s="2"/>
      <c r="D72" s="2"/>
      <c r="H72" s="2"/>
      <c r="I72" s="2"/>
      <c r="J72" s="2"/>
      <c r="K72" s="2"/>
    </row>
    <row r="73" spans="1:11" x14ac:dyDescent="0.2">
      <c r="A73" s="2"/>
      <c r="B73" s="2"/>
      <c r="C73" s="2"/>
    </row>
    <row r="74" spans="1:11" x14ac:dyDescent="0.2">
      <c r="J74" s="2"/>
    </row>
    <row r="75" spans="1:11" x14ac:dyDescent="0.2">
      <c r="B75" s="10" t="s">
        <v>43</v>
      </c>
      <c r="E75" s="13" t="s">
        <v>64</v>
      </c>
      <c r="G75" s="13" t="s">
        <v>65</v>
      </c>
    </row>
    <row r="77" spans="1:11" x14ac:dyDescent="0.2">
      <c r="B77" t="s">
        <v>44</v>
      </c>
      <c r="E77" s="2">
        <v>501.34</v>
      </c>
      <c r="G77" s="2">
        <v>50.36</v>
      </c>
    </row>
    <row r="78" spans="1:11" x14ac:dyDescent="0.2">
      <c r="B78" t="s">
        <v>45</v>
      </c>
      <c r="E78" s="2">
        <v>0</v>
      </c>
      <c r="G78" s="2">
        <v>255.33</v>
      </c>
    </row>
    <row r="79" spans="1:11" x14ac:dyDescent="0.2">
      <c r="B79" t="s">
        <v>20</v>
      </c>
      <c r="E79" s="2">
        <v>0</v>
      </c>
      <c r="G79" s="2">
        <f>455.83-68.39</f>
        <v>387.44</v>
      </c>
    </row>
    <row r="80" spans="1:11" x14ac:dyDescent="0.2">
      <c r="B80" t="s">
        <v>19</v>
      </c>
      <c r="E80" s="9">
        <v>2203.4</v>
      </c>
      <c r="G80" s="9">
        <v>2203.4</v>
      </c>
    </row>
    <row r="81" spans="2:7" x14ac:dyDescent="0.2">
      <c r="E81" s="2">
        <f>SUM(E77:E80)</f>
        <v>2704.7400000000002</v>
      </c>
      <c r="G81" s="2">
        <f>SUM(G77:G80)</f>
        <v>2896.53</v>
      </c>
    </row>
    <row r="82" spans="2:7" x14ac:dyDescent="0.2">
      <c r="C82" s="2"/>
    </row>
    <row r="83" spans="2:7" x14ac:dyDescent="0.2">
      <c r="C83" s="2"/>
    </row>
    <row r="84" spans="2:7" x14ac:dyDescent="0.2">
      <c r="B84" s="12" t="s">
        <v>58</v>
      </c>
    </row>
    <row r="86" spans="2:7" x14ac:dyDescent="0.2">
      <c r="B86" s="10" t="s">
        <v>39</v>
      </c>
    </row>
    <row r="88" spans="2:7" x14ac:dyDescent="0.2">
      <c r="B88" t="s">
        <v>70</v>
      </c>
    </row>
    <row r="89" spans="2:7" x14ac:dyDescent="0.2">
      <c r="B89" t="s">
        <v>46</v>
      </c>
    </row>
    <row r="92" spans="2:7" x14ac:dyDescent="0.2">
      <c r="B92" s="10" t="s">
        <v>47</v>
      </c>
      <c r="E92" s="13" t="s">
        <v>64</v>
      </c>
      <c r="G92" s="13" t="s">
        <v>65</v>
      </c>
    </row>
    <row r="94" spans="2:7" x14ac:dyDescent="0.2">
      <c r="B94" t="s">
        <v>48</v>
      </c>
      <c r="E94" s="2">
        <f>'[2]2008'!$L$123</f>
        <v>8156.5</v>
      </c>
      <c r="G94" s="2">
        <v>5098</v>
      </c>
    </row>
    <row r="95" spans="2:7" x14ac:dyDescent="0.2">
      <c r="B95" t="s">
        <v>49</v>
      </c>
      <c r="E95" s="2">
        <f>'[2]2008'!$M$123</f>
        <v>4170.29</v>
      </c>
      <c r="G95" s="2">
        <v>2611.19</v>
      </c>
    </row>
    <row r="96" spans="2:7" x14ac:dyDescent="0.2">
      <c r="B96" t="s">
        <v>50</v>
      </c>
      <c r="E96" s="2">
        <f>'[2]2008'!$S$123-G38</f>
        <v>7200</v>
      </c>
      <c r="G96" s="2">
        <v>6600</v>
      </c>
    </row>
    <row r="97" spans="2:7" x14ac:dyDescent="0.2">
      <c r="B97" t="s">
        <v>51</v>
      </c>
      <c r="E97" s="15">
        <f>'[2]2008'!$U$123</f>
        <v>148</v>
      </c>
      <c r="G97" s="15">
        <v>0</v>
      </c>
    </row>
    <row r="98" spans="2:7" x14ac:dyDescent="0.2">
      <c r="B98" t="s">
        <v>66</v>
      </c>
      <c r="E98" s="9">
        <f>'[2]2008'!$V$123</f>
        <v>3000</v>
      </c>
      <c r="G98" s="9">
        <v>0</v>
      </c>
    </row>
    <row r="99" spans="2:7" x14ac:dyDescent="0.2">
      <c r="E99" s="2">
        <f>SUM(E94:E98)</f>
        <v>22674.79</v>
      </c>
      <c r="G99" s="2">
        <f>SUM(G94:G98)</f>
        <v>14309.19</v>
      </c>
    </row>
    <row r="102" spans="2:7" x14ac:dyDescent="0.2">
      <c r="B102" s="10" t="s">
        <v>52</v>
      </c>
      <c r="E102" s="13" t="s">
        <v>64</v>
      </c>
      <c r="G102" s="13" t="s">
        <v>65</v>
      </c>
    </row>
    <row r="104" spans="2:7" x14ac:dyDescent="0.2">
      <c r="B104" t="s">
        <v>19</v>
      </c>
      <c r="E104" s="2">
        <f>H37</f>
        <v>5294.7700000000041</v>
      </c>
      <c r="G104">
        <v>-30.85</v>
      </c>
    </row>
    <row r="105" spans="2:7" x14ac:dyDescent="0.2">
      <c r="B105" t="s">
        <v>20</v>
      </c>
      <c r="E105" s="9">
        <f>H38</f>
        <v>-5752.2</v>
      </c>
      <c r="G105" s="14">
        <v>501.25</v>
      </c>
    </row>
    <row r="106" spans="2:7" x14ac:dyDescent="0.2">
      <c r="E106" s="2">
        <f>SUM(E104:E105)</f>
        <v>-457.42999999999574</v>
      </c>
      <c r="G106" s="2">
        <f>SUM(G104:G105)</f>
        <v>470.4</v>
      </c>
    </row>
    <row r="109" spans="2:7" x14ac:dyDescent="0.2">
      <c r="B109" s="12" t="s">
        <v>59</v>
      </c>
    </row>
    <row r="111" spans="2:7" x14ac:dyDescent="0.2">
      <c r="B111" s="10" t="s">
        <v>53</v>
      </c>
    </row>
    <row r="113" spans="2:2" x14ac:dyDescent="0.2">
      <c r="B113" t="s">
        <v>68</v>
      </c>
    </row>
    <row r="116" spans="2:2" x14ac:dyDescent="0.2">
      <c r="B116" s="10" t="s">
        <v>55</v>
      </c>
    </row>
    <row r="118" spans="2:2" x14ac:dyDescent="0.2">
      <c r="B118" t="s">
        <v>69</v>
      </c>
    </row>
  </sheetData>
  <mergeCells count="2">
    <mergeCell ref="A10:G10"/>
    <mergeCell ref="A30:G30"/>
  </mergeCells>
  <phoneticPr fontId="0" type="noConversion"/>
  <pageMargins left="0.57999999999999996" right="0.24" top="0.38" bottom="1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18"/>
  <sheetViews>
    <sheetView topLeftCell="A10" workbookViewId="0">
      <selection activeCell="F34" sqref="F34:F35"/>
    </sheetView>
  </sheetViews>
  <sheetFormatPr defaultRowHeight="12.75" x14ac:dyDescent="0.2"/>
  <cols>
    <col min="1" max="1" width="17.28515625" style="17" customWidth="1"/>
    <col min="2" max="2" width="11" style="17" customWidth="1"/>
    <col min="3" max="3" width="12.85546875" style="17" customWidth="1"/>
    <col min="4" max="4" width="6.85546875" style="17" customWidth="1"/>
    <col min="5" max="5" width="17.28515625" style="17" customWidth="1"/>
    <col min="6" max="6" width="11" style="17" customWidth="1"/>
    <col min="7" max="7" width="12.85546875" style="17" customWidth="1"/>
    <col min="8" max="8" width="9.28515625" style="17" bestFit="1" customWidth="1"/>
    <col min="9" max="9" width="10.28515625" style="17" bestFit="1" customWidth="1"/>
    <col min="10" max="10" width="9.7109375" style="17" bestFit="1" customWidth="1"/>
    <col min="11" max="11" width="9.140625" style="17"/>
    <col min="12" max="12" width="9.7109375" style="17" bestFit="1" customWidth="1"/>
    <col min="13" max="13" width="10.28515625" style="17" bestFit="1" customWidth="1"/>
    <col min="14" max="16384" width="9.140625" style="17"/>
  </cols>
  <sheetData>
    <row r="6" spans="1:14" ht="18" x14ac:dyDescent="0.25">
      <c r="B6" s="18" t="s">
        <v>0</v>
      </c>
    </row>
    <row r="7" spans="1:14" x14ac:dyDescent="0.2">
      <c r="B7" s="19"/>
    </row>
    <row r="8" spans="1:14" x14ac:dyDescent="0.2">
      <c r="B8" s="19"/>
    </row>
    <row r="10" spans="1:14" x14ac:dyDescent="0.2">
      <c r="A10" s="57" t="s">
        <v>79</v>
      </c>
      <c r="B10" s="57"/>
      <c r="C10" s="57"/>
      <c r="D10" s="57"/>
      <c r="E10" s="57"/>
      <c r="F10" s="57"/>
      <c r="G10" s="57"/>
      <c r="K10" s="30"/>
    </row>
    <row r="12" spans="1:14" x14ac:dyDescent="0.2">
      <c r="A12" s="19" t="s">
        <v>1</v>
      </c>
      <c r="B12" s="26">
        <v>2009</v>
      </c>
      <c r="C12" s="26">
        <v>2008</v>
      </c>
      <c r="E12" s="19" t="s">
        <v>5</v>
      </c>
      <c r="F12" s="26">
        <f>B12</f>
        <v>2009</v>
      </c>
      <c r="G12" s="26">
        <f>C12</f>
        <v>2008</v>
      </c>
    </row>
    <row r="13" spans="1:14" ht="8.25" customHeight="1" x14ac:dyDescent="0.2"/>
    <row r="14" spans="1:14" x14ac:dyDescent="0.2">
      <c r="A14" s="17" t="s">
        <v>2</v>
      </c>
      <c r="B14" s="17">
        <f>'[3]2009'!$H$123</f>
        <v>49975</v>
      </c>
      <c r="C14" s="17">
        <v>53045</v>
      </c>
      <c r="E14" s="17" t="s">
        <v>2</v>
      </c>
      <c r="F14" s="17">
        <f>'[3]2009'!$O$123</f>
        <v>3945</v>
      </c>
      <c r="G14" s="17">
        <v>3795</v>
      </c>
    </row>
    <row r="15" spans="1:14" x14ac:dyDescent="0.2">
      <c r="A15" s="17" t="s">
        <v>3</v>
      </c>
      <c r="B15" s="17">
        <f>'[3]2009'!$J$123</f>
        <v>2711.6000000000004</v>
      </c>
      <c r="C15" s="17">
        <v>2704.74</v>
      </c>
      <c r="E15" s="17" t="s">
        <v>6</v>
      </c>
      <c r="F15" s="17">
        <f>'[3]2009'!$K$123</f>
        <v>7906</v>
      </c>
      <c r="G15" s="17">
        <v>7771.15</v>
      </c>
      <c r="I15" s="29" t="s">
        <v>82</v>
      </c>
      <c r="J15" s="28"/>
      <c r="K15" s="28"/>
      <c r="L15" s="28"/>
      <c r="M15" s="28"/>
      <c r="N15" s="28"/>
    </row>
    <row r="16" spans="1:14" x14ac:dyDescent="0.2">
      <c r="A16" s="17" t="s">
        <v>10</v>
      </c>
      <c r="B16" s="17">
        <f>H39</f>
        <v>8566.6299999999937</v>
      </c>
      <c r="E16" s="17" t="s">
        <v>7</v>
      </c>
      <c r="F16" s="17">
        <f>E98</f>
        <v>35982.259999999995</v>
      </c>
      <c r="G16" s="17">
        <v>22674.79</v>
      </c>
    </row>
    <row r="17" spans="1:13" x14ac:dyDescent="0.2">
      <c r="A17" s="17" t="s">
        <v>4</v>
      </c>
      <c r="B17" s="17">
        <v>0</v>
      </c>
      <c r="C17" s="17">
        <v>0</v>
      </c>
      <c r="E17" s="17" t="s">
        <v>8</v>
      </c>
      <c r="F17" s="17">
        <f>'[3]2009'!$P$123</f>
        <v>7346.7</v>
      </c>
      <c r="G17" s="17">
        <v>5703.4</v>
      </c>
    </row>
    <row r="18" spans="1:13" ht="13.5" thickBot="1" x14ac:dyDescent="0.25">
      <c r="B18" s="33">
        <f>SUM(B14:B17)</f>
        <v>61253.229999999996</v>
      </c>
      <c r="C18" s="33">
        <f>SUM(C14:C17)</f>
        <v>55749.74</v>
      </c>
      <c r="E18" s="17" t="s">
        <v>11</v>
      </c>
      <c r="F18" s="17">
        <v>0</v>
      </c>
      <c r="G18" s="17">
        <v>0</v>
      </c>
    </row>
    <row r="19" spans="1:13" ht="13.5" thickTop="1" x14ac:dyDescent="0.2">
      <c r="E19" s="17" t="s">
        <v>9</v>
      </c>
      <c r="F19" s="17">
        <f>'[3]2009'!$R$123</f>
        <v>462.5</v>
      </c>
      <c r="G19" s="17">
        <v>475</v>
      </c>
    </row>
    <row r="20" spans="1:13" x14ac:dyDescent="0.2">
      <c r="E20" s="17" t="s">
        <v>12</v>
      </c>
      <c r="F20" s="17">
        <v>0</v>
      </c>
      <c r="G20" s="17">
        <v>457.42999999999574</v>
      </c>
    </row>
    <row r="21" spans="1:13" x14ac:dyDescent="0.2">
      <c r="E21" s="17" t="s">
        <v>4</v>
      </c>
      <c r="F21" s="17">
        <v>0</v>
      </c>
      <c r="G21" s="17">
        <v>0</v>
      </c>
      <c r="I21" s="17" t="s">
        <v>37</v>
      </c>
    </row>
    <row r="22" spans="1:13" x14ac:dyDescent="0.2">
      <c r="E22" s="17" t="s">
        <v>31</v>
      </c>
      <c r="F22" s="17">
        <f>I22</f>
        <v>5610.7700000000041</v>
      </c>
      <c r="G22" s="17">
        <v>14872.97</v>
      </c>
      <c r="I22" s="17">
        <f>+B18-SUM(F14:F21)</f>
        <v>5610.7700000000041</v>
      </c>
      <c r="K22" s="17" t="s">
        <v>72</v>
      </c>
      <c r="M22" s="17">
        <f>SUM(F14:F21)</f>
        <v>55642.459999999992</v>
      </c>
    </row>
    <row r="23" spans="1:13" ht="13.5" thickBot="1" x14ac:dyDescent="0.25">
      <c r="F23" s="33">
        <f>SUM(F14:F22)</f>
        <v>61253.229999999996</v>
      </c>
      <c r="G23" s="33">
        <f>SUM(G14:G22)</f>
        <v>55749.74</v>
      </c>
      <c r="K23" s="17" t="s">
        <v>71</v>
      </c>
      <c r="M23" s="17">
        <f>'[3]2009'!$K$125</f>
        <v>-55642.46</v>
      </c>
    </row>
    <row r="24" spans="1:13" ht="13.5" thickTop="1" x14ac:dyDescent="0.2">
      <c r="M24" s="17">
        <f>SUM(M22:M23)</f>
        <v>0</v>
      </c>
    </row>
    <row r="30" spans="1:13" x14ac:dyDescent="0.2">
      <c r="A30" s="57" t="s">
        <v>80</v>
      </c>
      <c r="B30" s="57"/>
      <c r="C30" s="57"/>
      <c r="D30" s="57"/>
      <c r="E30" s="57"/>
      <c r="F30" s="57"/>
      <c r="G30" s="57"/>
    </row>
    <row r="32" spans="1:13" x14ac:dyDescent="0.2">
      <c r="A32" s="19" t="s">
        <v>14</v>
      </c>
      <c r="B32" s="26">
        <f>B12</f>
        <v>2009</v>
      </c>
      <c r="C32" s="26">
        <f>C12</f>
        <v>2008</v>
      </c>
      <c r="E32" s="19" t="s">
        <v>15</v>
      </c>
      <c r="F32" s="26">
        <f>B12</f>
        <v>2009</v>
      </c>
      <c r="G32" s="26">
        <f>C12</f>
        <v>2008</v>
      </c>
    </row>
    <row r="33" spans="1:9" ht="8.25" customHeight="1" x14ac:dyDescent="0.2"/>
    <row r="34" spans="1:9" x14ac:dyDescent="0.2">
      <c r="A34" s="17" t="s">
        <v>16</v>
      </c>
      <c r="B34" s="17">
        <f>'[3]2009'!$E$123</f>
        <v>5.0000000000181899E-2</v>
      </c>
      <c r="C34" s="17">
        <v>213.05</v>
      </c>
      <c r="E34" s="17" t="s">
        <v>21</v>
      </c>
      <c r="F34" s="17">
        <f>+G37</f>
        <v>157233.1</v>
      </c>
      <c r="G34" s="17">
        <v>142360.13</v>
      </c>
    </row>
    <row r="35" spans="1:9" x14ac:dyDescent="0.2">
      <c r="A35" s="17" t="s">
        <v>18</v>
      </c>
      <c r="B35" s="17">
        <f>'[3]2009'!$G$123</f>
        <v>46142.469999999994</v>
      </c>
      <c r="C35" s="17">
        <v>48885.33</v>
      </c>
      <c r="E35" s="17" t="s">
        <v>31</v>
      </c>
      <c r="F35" s="17">
        <f>+F22</f>
        <v>5610.7700000000041</v>
      </c>
      <c r="G35" s="17">
        <v>14872.97</v>
      </c>
    </row>
    <row r="36" spans="1:9" x14ac:dyDescent="0.2">
      <c r="A36" s="17" t="s">
        <v>19</v>
      </c>
      <c r="B36" s="31">
        <v>106403.29</v>
      </c>
      <c r="C36" s="17">
        <v>103376.92</v>
      </c>
      <c r="H36" s="17" t="s">
        <v>35</v>
      </c>
    </row>
    <row r="37" spans="1:9" ht="13.5" thickBot="1" x14ac:dyDescent="0.25">
      <c r="A37" s="17" t="s">
        <v>20</v>
      </c>
      <c r="B37" s="31">
        <v>10298.06</v>
      </c>
      <c r="C37" s="17">
        <v>4757.8</v>
      </c>
      <c r="E37" s="17" t="s">
        <v>22</v>
      </c>
      <c r="F37" s="33">
        <f>SUM(F34:F35)</f>
        <v>162843.87</v>
      </c>
      <c r="G37" s="33">
        <f>SUM(G34:G35)</f>
        <v>157233.1</v>
      </c>
      <c r="H37" s="17">
        <f>B36-C36</f>
        <v>3026.3699999999953</v>
      </c>
    </row>
    <row r="38" spans="1:9" ht="13.5" thickTop="1" x14ac:dyDescent="0.2">
      <c r="F38" s="25"/>
      <c r="G38" s="25"/>
      <c r="H38" s="17">
        <f>B37-C37</f>
        <v>5540.2599999999993</v>
      </c>
      <c r="I38" s="17" t="s">
        <v>36</v>
      </c>
    </row>
    <row r="39" spans="1:9" ht="13.5" thickBot="1" x14ac:dyDescent="0.25">
      <c r="B39" s="33">
        <f>SUM(B34:B37)</f>
        <v>162843.87</v>
      </c>
      <c r="C39" s="33">
        <f>SUM(C34:C37)</f>
        <v>157233.09999999998</v>
      </c>
      <c r="F39" s="25"/>
      <c r="G39" s="25"/>
      <c r="H39" s="17">
        <f>SUM(H37:H38)</f>
        <v>8566.6299999999937</v>
      </c>
      <c r="I39" s="17">
        <f>+B39-F37</f>
        <v>0</v>
      </c>
    </row>
    <row r="40" spans="1:9" ht="13.5" thickTop="1" x14ac:dyDescent="0.2"/>
    <row r="42" spans="1:9" x14ac:dyDescent="0.2">
      <c r="A42" s="17" t="s">
        <v>83</v>
      </c>
    </row>
    <row r="46" spans="1:9" x14ac:dyDescent="0.2">
      <c r="G46" s="21" t="s">
        <v>30</v>
      </c>
    </row>
    <row r="49" spans="1:6" x14ac:dyDescent="0.2">
      <c r="A49" s="17" t="s">
        <v>85</v>
      </c>
    </row>
    <row r="51" spans="1:6" x14ac:dyDescent="0.2">
      <c r="A51" s="22" t="s">
        <v>23</v>
      </c>
    </row>
    <row r="52" spans="1:6" x14ac:dyDescent="0.2">
      <c r="A52" s="17" t="s">
        <v>26</v>
      </c>
    </row>
    <row r="53" spans="1:6" x14ac:dyDescent="0.2">
      <c r="A53" s="17" t="s">
        <v>27</v>
      </c>
    </row>
    <row r="57" spans="1:6" x14ac:dyDescent="0.2">
      <c r="B57" s="17" t="s">
        <v>24</v>
      </c>
      <c r="F57" s="21" t="s">
        <v>25</v>
      </c>
    </row>
    <row r="63" spans="1:6" x14ac:dyDescent="0.2">
      <c r="A63" s="19" t="s">
        <v>77</v>
      </c>
    </row>
    <row r="64" spans="1:6" x14ac:dyDescent="0.2">
      <c r="A64" s="19"/>
    </row>
    <row r="65" spans="1:7" x14ac:dyDescent="0.2">
      <c r="A65" s="19"/>
      <c r="B65" s="23" t="s">
        <v>57</v>
      </c>
    </row>
    <row r="66" spans="1:7" x14ac:dyDescent="0.2">
      <c r="A66" s="19"/>
    </row>
    <row r="67" spans="1:7" x14ac:dyDescent="0.2">
      <c r="A67" s="19"/>
      <c r="B67" s="24" t="s">
        <v>39</v>
      </c>
    </row>
    <row r="69" spans="1:7" x14ac:dyDescent="0.2">
      <c r="B69" s="31" t="s">
        <v>87</v>
      </c>
    </row>
    <row r="70" spans="1:7" x14ac:dyDescent="0.2">
      <c r="B70" s="31" t="s">
        <v>86</v>
      </c>
    </row>
    <row r="71" spans="1:7" x14ac:dyDescent="0.2">
      <c r="B71" s="31" t="s">
        <v>88</v>
      </c>
    </row>
    <row r="75" spans="1:7" x14ac:dyDescent="0.2">
      <c r="B75" s="24" t="s">
        <v>43</v>
      </c>
      <c r="E75" s="27">
        <f>B12</f>
        <v>2009</v>
      </c>
      <c r="G75" s="27">
        <f>C12</f>
        <v>2008</v>
      </c>
    </row>
    <row r="77" spans="1:7" x14ac:dyDescent="0.2">
      <c r="B77" s="17" t="s">
        <v>44</v>
      </c>
      <c r="E77" s="17">
        <v>350.11</v>
      </c>
      <c r="G77" s="17">
        <v>501.34</v>
      </c>
    </row>
    <row r="78" spans="1:7" x14ac:dyDescent="0.2">
      <c r="B78" s="17" t="s">
        <v>19</v>
      </c>
      <c r="E78" s="25">
        <v>2203.4</v>
      </c>
      <c r="G78" s="25">
        <v>2203.4</v>
      </c>
    </row>
    <row r="79" spans="1:7" x14ac:dyDescent="0.2">
      <c r="B79" s="17" t="s">
        <v>20</v>
      </c>
      <c r="E79" s="20">
        <v>158.09</v>
      </c>
      <c r="G79" s="25">
        <v>0</v>
      </c>
    </row>
    <row r="80" spans="1:7" x14ac:dyDescent="0.2">
      <c r="E80" s="17">
        <f>SUM(E77:E79)</f>
        <v>2711.6000000000004</v>
      </c>
      <c r="G80" s="17">
        <f>SUM(G77:G79)</f>
        <v>2704.7400000000002</v>
      </c>
    </row>
    <row r="83" spans="2:7" x14ac:dyDescent="0.2">
      <c r="B83" s="23" t="s">
        <v>58</v>
      </c>
    </row>
    <row r="85" spans="2:7" x14ac:dyDescent="0.2">
      <c r="B85" s="24" t="s">
        <v>39</v>
      </c>
    </row>
    <row r="87" spans="2:7" x14ac:dyDescent="0.2">
      <c r="B87" s="17" t="s">
        <v>81</v>
      </c>
    </row>
    <row r="88" spans="2:7" x14ac:dyDescent="0.2">
      <c r="B88" s="17" t="s">
        <v>46</v>
      </c>
    </row>
    <row r="91" spans="2:7" x14ac:dyDescent="0.2">
      <c r="B91" s="24" t="s">
        <v>47</v>
      </c>
      <c r="E91" s="27">
        <f>B12</f>
        <v>2009</v>
      </c>
      <c r="G91" s="27">
        <f>G75</f>
        <v>2008</v>
      </c>
    </row>
    <row r="93" spans="2:7" x14ac:dyDescent="0.2">
      <c r="B93" s="17" t="s">
        <v>48</v>
      </c>
      <c r="E93" s="17">
        <f>'[3]2009'!$L$123</f>
        <v>5172</v>
      </c>
      <c r="G93" s="17">
        <v>8156.5</v>
      </c>
    </row>
    <row r="94" spans="2:7" x14ac:dyDescent="0.2">
      <c r="B94" s="17" t="s">
        <v>49</v>
      </c>
      <c r="E94" s="17">
        <f>'[3]2009'!$M$123</f>
        <v>6177.7999999999993</v>
      </c>
      <c r="G94" s="17">
        <v>4170.29</v>
      </c>
    </row>
    <row r="95" spans="2:7" x14ac:dyDescent="0.2">
      <c r="B95" s="17" t="s">
        <v>50</v>
      </c>
      <c r="E95" s="17">
        <f>'[3]2009'!$S$123</f>
        <v>8175</v>
      </c>
      <c r="G95" s="17">
        <v>13800</v>
      </c>
    </row>
    <row r="96" spans="2:7" x14ac:dyDescent="0.2">
      <c r="B96" s="17" t="s">
        <v>51</v>
      </c>
      <c r="E96" s="25">
        <f>'[3]2009'!$U$123</f>
        <v>100</v>
      </c>
      <c r="G96" s="25">
        <v>148</v>
      </c>
    </row>
    <row r="97" spans="2:7" x14ac:dyDescent="0.2">
      <c r="B97" s="17" t="s">
        <v>78</v>
      </c>
      <c r="E97" s="20">
        <f>'[3]2009'!$V$123</f>
        <v>16357.46</v>
      </c>
      <c r="G97" s="20">
        <v>3000</v>
      </c>
    </row>
    <row r="98" spans="2:7" x14ac:dyDescent="0.2">
      <c r="E98" s="17">
        <f>SUM(E93:E97)</f>
        <v>35982.259999999995</v>
      </c>
      <c r="G98" s="17">
        <f>SUM(G93:G97)</f>
        <v>29274.79</v>
      </c>
    </row>
    <row r="101" spans="2:7" x14ac:dyDescent="0.2">
      <c r="B101" s="24" t="s">
        <v>90</v>
      </c>
      <c r="E101" s="27">
        <f>B12</f>
        <v>2009</v>
      </c>
      <c r="G101" s="27">
        <f>G75</f>
        <v>2008</v>
      </c>
    </row>
    <row r="103" spans="2:7" x14ac:dyDescent="0.2">
      <c r="B103" s="17" t="s">
        <v>19</v>
      </c>
      <c r="E103" s="17">
        <f>H37</f>
        <v>3026.3699999999953</v>
      </c>
      <c r="G103" s="17">
        <v>5294.77</v>
      </c>
    </row>
    <row r="104" spans="2:7" x14ac:dyDescent="0.2">
      <c r="B104" s="17" t="s">
        <v>20</v>
      </c>
      <c r="E104" s="20">
        <f>H38</f>
        <v>5540.2599999999993</v>
      </c>
      <c r="G104" s="20">
        <v>-5752.2</v>
      </c>
    </row>
    <row r="105" spans="2:7" x14ac:dyDescent="0.2">
      <c r="E105" s="17">
        <f>SUM(E103:E104)</f>
        <v>8566.6299999999937</v>
      </c>
      <c r="G105" s="17">
        <f>SUM(G103:G104)</f>
        <v>-457.42999999999938</v>
      </c>
    </row>
    <row r="108" spans="2:7" x14ac:dyDescent="0.2">
      <c r="B108" s="23" t="s">
        <v>59</v>
      </c>
    </row>
    <row r="110" spans="2:7" x14ac:dyDescent="0.2">
      <c r="B110" s="32" t="s">
        <v>53</v>
      </c>
    </row>
    <row r="112" spans="2:7" x14ac:dyDescent="0.2">
      <c r="B112" s="31" t="s">
        <v>84</v>
      </c>
    </row>
    <row r="114" spans="2:2" x14ac:dyDescent="0.2">
      <c r="B114" s="32"/>
    </row>
    <row r="115" spans="2:2" x14ac:dyDescent="0.2">
      <c r="B115" s="32" t="s">
        <v>55</v>
      </c>
    </row>
    <row r="116" spans="2:2" x14ac:dyDescent="0.2">
      <c r="B116" s="31"/>
    </row>
    <row r="117" spans="2:2" x14ac:dyDescent="0.2">
      <c r="B117" s="31" t="s">
        <v>89</v>
      </c>
    </row>
    <row r="118" spans="2:2" x14ac:dyDescent="0.2">
      <c r="B118" s="31"/>
    </row>
  </sheetData>
  <mergeCells count="2">
    <mergeCell ref="A10:G10"/>
    <mergeCell ref="A30:G30"/>
  </mergeCells>
  <phoneticPr fontId="0" type="noConversion"/>
  <pageMargins left="0.57999999999999996" right="0.24" top="0.38" bottom="1" header="0" footer="0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0"/>
  <sheetViews>
    <sheetView workbookViewId="0"/>
  </sheetViews>
  <sheetFormatPr defaultRowHeight="15" x14ac:dyDescent="0.25"/>
  <cols>
    <col min="1" max="1" width="17.28515625" style="34" customWidth="1"/>
    <col min="2" max="2" width="11" style="34" customWidth="1"/>
    <col min="3" max="3" width="12.85546875" style="34" customWidth="1"/>
    <col min="4" max="4" width="6.85546875" style="34" customWidth="1"/>
    <col min="5" max="5" width="17.28515625" style="34" customWidth="1"/>
    <col min="6" max="6" width="11" style="34" customWidth="1"/>
    <col min="7" max="7" width="12.85546875" style="34" customWidth="1"/>
    <col min="8" max="8" width="9.28515625" style="34" bestFit="1" customWidth="1"/>
    <col min="9" max="9" width="10.28515625" style="34" bestFit="1" customWidth="1"/>
    <col min="10" max="10" width="9.7109375" style="34" bestFit="1" customWidth="1"/>
    <col min="11" max="11" width="9.140625" style="34"/>
    <col min="12" max="12" width="12" style="34" customWidth="1"/>
    <col min="13" max="13" width="10.28515625" style="34" bestFit="1" customWidth="1"/>
    <col min="14" max="16384" width="9.140625" style="34"/>
  </cols>
  <sheetData>
    <row r="3" spans="1:14" x14ac:dyDescent="0.25">
      <c r="B3" s="35" t="s">
        <v>0</v>
      </c>
    </row>
    <row r="4" spans="1:14" x14ac:dyDescent="0.25">
      <c r="B4" s="35"/>
    </row>
    <row r="5" spans="1:14" x14ac:dyDescent="0.25">
      <c r="B5" s="35"/>
    </row>
    <row r="7" spans="1:14" x14ac:dyDescent="0.25">
      <c r="A7" s="58" t="s">
        <v>91</v>
      </c>
      <c r="B7" s="58"/>
      <c r="C7" s="58"/>
      <c r="D7" s="58"/>
      <c r="E7" s="58"/>
      <c r="F7" s="58"/>
      <c r="G7" s="58"/>
    </row>
    <row r="9" spans="1:14" x14ac:dyDescent="0.25">
      <c r="A9" s="35" t="s">
        <v>1</v>
      </c>
      <c r="B9" s="36">
        <v>2010</v>
      </c>
      <c r="C9" s="36">
        <v>2009</v>
      </c>
      <c r="E9" s="35" t="s">
        <v>5</v>
      </c>
      <c r="F9" s="36">
        <f>B9</f>
        <v>2010</v>
      </c>
      <c r="G9" s="36">
        <f>C9</f>
        <v>2009</v>
      </c>
    </row>
    <row r="10" spans="1:14" ht="8.25" customHeight="1" x14ac:dyDescent="0.25"/>
    <row r="11" spans="1:14" x14ac:dyDescent="0.25">
      <c r="A11" s="34" t="s">
        <v>2</v>
      </c>
      <c r="B11" s="34">
        <f>'[4]2010'!$H$123</f>
        <v>49475</v>
      </c>
      <c r="C11" s="34">
        <v>49975</v>
      </c>
      <c r="E11" s="34" t="s">
        <v>2</v>
      </c>
      <c r="F11" s="34">
        <f>'[4]2010'!$O$123</f>
        <v>4035</v>
      </c>
      <c r="G11" s="34">
        <v>3945</v>
      </c>
    </row>
    <row r="12" spans="1:14" x14ac:dyDescent="0.25">
      <c r="A12" s="34" t="s">
        <v>3</v>
      </c>
      <c r="B12" s="34">
        <f>'[4]2010'!$J$123</f>
        <v>2907.33</v>
      </c>
      <c r="C12" s="34">
        <v>2711.6000000000004</v>
      </c>
      <c r="E12" s="34" t="s">
        <v>6</v>
      </c>
      <c r="F12" s="34">
        <f>'[4]2010'!$K$123</f>
        <v>13664</v>
      </c>
      <c r="G12" s="34">
        <v>7906</v>
      </c>
      <c r="I12" s="37"/>
      <c r="J12" s="38"/>
      <c r="K12" s="38"/>
      <c r="L12" s="38"/>
      <c r="M12" s="38"/>
      <c r="N12" s="38"/>
    </row>
    <row r="13" spans="1:14" x14ac:dyDescent="0.25">
      <c r="A13" s="34" t="s">
        <v>10</v>
      </c>
      <c r="B13" s="34">
        <f>H32</f>
        <v>4624.9600000000137</v>
      </c>
      <c r="C13" s="34">
        <v>8566.6299999999937</v>
      </c>
      <c r="E13" s="34" t="s">
        <v>7</v>
      </c>
      <c r="F13" s="34">
        <f>E86</f>
        <v>14231.8</v>
      </c>
      <c r="G13" s="34">
        <v>35982.259999999995</v>
      </c>
    </row>
    <row r="14" spans="1:14" x14ac:dyDescent="0.25">
      <c r="A14" s="34" t="s">
        <v>4</v>
      </c>
      <c r="B14" s="34">
        <v>0</v>
      </c>
      <c r="C14" s="34">
        <v>0</v>
      </c>
      <c r="E14" s="34" t="s">
        <v>8</v>
      </c>
      <c r="F14" s="34">
        <f>'[4]2010'!$P$123</f>
        <v>7511.35</v>
      </c>
      <c r="G14" s="34">
        <v>7346.7</v>
      </c>
    </row>
    <row r="15" spans="1:14" ht="15.75" thickBot="1" x14ac:dyDescent="0.3">
      <c r="B15" s="39">
        <f>SUM(B11:B14)</f>
        <v>57007.290000000015</v>
      </c>
      <c r="C15" s="39">
        <f>SUM(C11:C14)</f>
        <v>61253.229999999996</v>
      </c>
      <c r="E15" s="34" t="s">
        <v>11</v>
      </c>
      <c r="F15" s="34">
        <v>0</v>
      </c>
      <c r="G15" s="34">
        <v>0</v>
      </c>
    </row>
    <row r="16" spans="1:14" ht="15.75" thickTop="1" x14ac:dyDescent="0.25">
      <c r="E16" s="34" t="s">
        <v>9</v>
      </c>
      <c r="F16" s="34">
        <f>'[4]2010'!$R$123</f>
        <v>450</v>
      </c>
      <c r="G16" s="34">
        <v>462.5</v>
      </c>
    </row>
    <row r="17" spans="1:13" x14ac:dyDescent="0.25">
      <c r="E17" s="34" t="s">
        <v>12</v>
      </c>
      <c r="F17" s="34">
        <v>0</v>
      </c>
      <c r="G17" s="34">
        <v>0</v>
      </c>
    </row>
    <row r="18" spans="1:13" x14ac:dyDescent="0.25">
      <c r="E18" s="34" t="s">
        <v>4</v>
      </c>
      <c r="F18" s="34">
        <v>0</v>
      </c>
      <c r="G18" s="34">
        <v>0</v>
      </c>
      <c r="I18" s="34" t="s">
        <v>37</v>
      </c>
    </row>
    <row r="19" spans="1:13" x14ac:dyDescent="0.25">
      <c r="E19" s="34" t="s">
        <v>31</v>
      </c>
      <c r="F19" s="34">
        <f>I19</f>
        <v>17115.140000000014</v>
      </c>
      <c r="G19" s="34">
        <v>5610.7700000000041</v>
      </c>
      <c r="I19" s="34">
        <f>+B15-SUM(F11:F18)</f>
        <v>17115.140000000014</v>
      </c>
      <c r="K19" s="34" t="s">
        <v>72</v>
      </c>
      <c r="M19" s="34">
        <f>SUM(F11:F18)</f>
        <v>39892.15</v>
      </c>
    </row>
    <row r="20" spans="1:13" ht="15.75" thickBot="1" x14ac:dyDescent="0.3">
      <c r="F20" s="39">
        <f>SUM(F11:F19)</f>
        <v>57007.290000000015</v>
      </c>
      <c r="G20" s="39">
        <f>SUM(G11:G19)</f>
        <v>61253.229999999996</v>
      </c>
      <c r="K20" s="34" t="s">
        <v>71</v>
      </c>
      <c r="M20" s="34">
        <f>'[4]2010'!$K$125</f>
        <v>-39892.15</v>
      </c>
    </row>
    <row r="21" spans="1:13" ht="15.75" thickTop="1" x14ac:dyDescent="0.25">
      <c r="M21" s="34">
        <f>SUM(M19:M20)</f>
        <v>0</v>
      </c>
    </row>
    <row r="23" spans="1:13" x14ac:dyDescent="0.25">
      <c r="A23" s="58" t="s">
        <v>92</v>
      </c>
      <c r="B23" s="58"/>
      <c r="C23" s="58"/>
      <c r="D23" s="58"/>
      <c r="E23" s="58"/>
      <c r="F23" s="58"/>
      <c r="G23" s="58"/>
    </row>
    <row r="25" spans="1:13" x14ac:dyDescent="0.25">
      <c r="A25" s="35" t="s">
        <v>14</v>
      </c>
      <c r="B25" s="36">
        <f>B9</f>
        <v>2010</v>
      </c>
      <c r="C25" s="36">
        <f>C9</f>
        <v>2009</v>
      </c>
      <c r="E25" s="35" t="s">
        <v>15</v>
      </c>
      <c r="F25" s="36">
        <f>B9</f>
        <v>2010</v>
      </c>
      <c r="G25" s="36">
        <f>C9</f>
        <v>2009</v>
      </c>
    </row>
    <row r="26" spans="1:13" ht="8.25" customHeight="1" x14ac:dyDescent="0.25"/>
    <row r="27" spans="1:13" x14ac:dyDescent="0.25">
      <c r="A27" s="34" t="s">
        <v>16</v>
      </c>
      <c r="B27" s="34">
        <f>'[4]2010'!$E$123</f>
        <v>1.8189616479702408E-13</v>
      </c>
      <c r="C27" s="34">
        <v>5.0000000000181899E-2</v>
      </c>
      <c r="E27" s="34" t="s">
        <v>21</v>
      </c>
      <c r="F27" s="34">
        <f>+G30</f>
        <v>162843.87</v>
      </c>
      <c r="G27" s="34">
        <v>157233.1</v>
      </c>
    </row>
    <row r="28" spans="1:13" x14ac:dyDescent="0.25">
      <c r="A28" s="34" t="s">
        <v>18</v>
      </c>
      <c r="B28" s="34">
        <f>'[4]2010'!$G$123</f>
        <v>58632.7</v>
      </c>
      <c r="C28" s="34">
        <v>46142.469999999994</v>
      </c>
      <c r="E28" s="34" t="s">
        <v>31</v>
      </c>
      <c r="F28" s="34">
        <f>+F19</f>
        <v>17115.140000000014</v>
      </c>
      <c r="G28" s="34">
        <v>5610.7700000000041</v>
      </c>
    </row>
    <row r="29" spans="1:13" x14ac:dyDescent="0.25">
      <c r="A29" s="34" t="s">
        <v>19</v>
      </c>
      <c r="B29" s="34">
        <v>109562.96</v>
      </c>
      <c r="C29" s="34">
        <v>106403.29</v>
      </c>
      <c r="H29" s="34" t="s">
        <v>35</v>
      </c>
    </row>
    <row r="30" spans="1:13" ht="15.75" thickBot="1" x14ac:dyDescent="0.3">
      <c r="A30" s="34" t="s">
        <v>20</v>
      </c>
      <c r="B30" s="34">
        <v>11763.35</v>
      </c>
      <c r="C30" s="34">
        <v>10298.06</v>
      </c>
      <c r="E30" s="34" t="s">
        <v>22</v>
      </c>
      <c r="F30" s="39">
        <f>SUM(F27:F28)</f>
        <v>179959.01</v>
      </c>
      <c r="G30" s="39">
        <f>SUM(G27:G28)</f>
        <v>162843.87</v>
      </c>
      <c r="H30" s="34">
        <f>B29-C29</f>
        <v>3159.6700000000128</v>
      </c>
    </row>
    <row r="31" spans="1:13" ht="15.75" thickTop="1" x14ac:dyDescent="0.25">
      <c r="F31" s="40"/>
      <c r="G31" s="40"/>
      <c r="H31" s="34">
        <f>B30-C30</f>
        <v>1465.2900000000009</v>
      </c>
      <c r="I31" s="34" t="s">
        <v>36</v>
      </c>
    </row>
    <row r="32" spans="1:13" ht="15.75" thickBot="1" x14ac:dyDescent="0.3">
      <c r="B32" s="39">
        <f>SUM(B27:B30)</f>
        <v>179959.01</v>
      </c>
      <c r="C32" s="39">
        <f>SUM(C27:C30)</f>
        <v>162843.87</v>
      </c>
      <c r="F32" s="40"/>
      <c r="G32" s="40"/>
      <c r="H32" s="34">
        <f>SUM(H30:H31)</f>
        <v>4624.9600000000137</v>
      </c>
      <c r="I32" s="34">
        <f>+B32-F30</f>
        <v>0</v>
      </c>
    </row>
    <row r="33" spans="1:7" ht="15.75" thickTop="1" x14ac:dyDescent="0.25"/>
    <row r="35" spans="1:7" x14ac:dyDescent="0.25">
      <c r="A35" s="34" t="s">
        <v>95</v>
      </c>
    </row>
    <row r="39" spans="1:7" x14ac:dyDescent="0.25">
      <c r="G39" s="41" t="s">
        <v>30</v>
      </c>
    </row>
    <row r="42" spans="1:7" x14ac:dyDescent="0.25">
      <c r="A42" s="34" t="s">
        <v>85</v>
      </c>
    </row>
    <row r="44" spans="1:7" x14ac:dyDescent="0.25">
      <c r="A44" s="42" t="s">
        <v>23</v>
      </c>
    </row>
    <row r="45" spans="1:7" x14ac:dyDescent="0.25">
      <c r="A45" s="34" t="s">
        <v>103</v>
      </c>
    </row>
    <row r="46" spans="1:7" x14ac:dyDescent="0.25">
      <c r="A46" s="34" t="s">
        <v>27</v>
      </c>
    </row>
    <row r="50" spans="1:6" x14ac:dyDescent="0.25">
      <c r="B50" s="34" t="s">
        <v>102</v>
      </c>
      <c r="F50" s="41" t="s">
        <v>25</v>
      </c>
    </row>
    <row r="55" spans="1:6" x14ac:dyDescent="0.25">
      <c r="A55" s="35" t="s">
        <v>104</v>
      </c>
    </row>
    <row r="56" spans="1:6" x14ac:dyDescent="0.25">
      <c r="A56" s="35"/>
    </row>
    <row r="57" spans="1:6" x14ac:dyDescent="0.25">
      <c r="A57" s="35"/>
      <c r="B57" s="43" t="s">
        <v>57</v>
      </c>
    </row>
    <row r="58" spans="1:6" x14ac:dyDescent="0.25">
      <c r="A58" s="35"/>
    </row>
    <row r="59" spans="1:6" x14ac:dyDescent="0.25">
      <c r="A59" s="35"/>
      <c r="B59" s="44" t="s">
        <v>39</v>
      </c>
    </row>
    <row r="61" spans="1:6" x14ac:dyDescent="0.25">
      <c r="B61" s="34" t="s">
        <v>99</v>
      </c>
    </row>
    <row r="62" spans="1:6" x14ac:dyDescent="0.25">
      <c r="B62" s="34" t="s">
        <v>98</v>
      </c>
    </row>
    <row r="63" spans="1:6" x14ac:dyDescent="0.25">
      <c r="B63" s="34" t="s">
        <v>100</v>
      </c>
    </row>
    <row r="64" spans="1:6" x14ac:dyDescent="0.25">
      <c r="B64" s="34" t="s">
        <v>101</v>
      </c>
    </row>
    <row r="67" spans="2:7" x14ac:dyDescent="0.25">
      <c r="B67" s="44" t="s">
        <v>43</v>
      </c>
      <c r="E67" s="45">
        <f>B9</f>
        <v>2010</v>
      </c>
      <c r="G67" s="45">
        <f>C9</f>
        <v>2009</v>
      </c>
    </row>
    <row r="68" spans="2:7" x14ac:dyDescent="0.25">
      <c r="B68" s="34" t="s">
        <v>44</v>
      </c>
      <c r="E68" s="34">
        <v>399.1</v>
      </c>
      <c r="G68" s="34">
        <v>350.11</v>
      </c>
    </row>
    <row r="69" spans="2:7" x14ac:dyDescent="0.25">
      <c r="B69" s="34" t="s">
        <v>19</v>
      </c>
      <c r="E69" s="40">
        <v>2203.4</v>
      </c>
      <c r="G69" s="40">
        <v>2203.4</v>
      </c>
    </row>
    <row r="70" spans="2:7" x14ac:dyDescent="0.25">
      <c r="B70" s="34" t="s">
        <v>20</v>
      </c>
      <c r="E70" s="46">
        <v>304.83</v>
      </c>
      <c r="G70" s="46">
        <v>158.09</v>
      </c>
    </row>
    <row r="71" spans="2:7" x14ac:dyDescent="0.25">
      <c r="E71" s="34">
        <f>SUM(E68:E70)</f>
        <v>2907.33</v>
      </c>
      <c r="G71" s="34">
        <f>SUM(G68:G70)</f>
        <v>2711.6000000000004</v>
      </c>
    </row>
    <row r="73" spans="2:7" x14ac:dyDescent="0.25">
      <c r="B73" s="43" t="s">
        <v>58</v>
      </c>
    </row>
    <row r="75" spans="2:7" x14ac:dyDescent="0.25">
      <c r="B75" s="44" t="s">
        <v>39</v>
      </c>
    </row>
    <row r="77" spans="2:7" x14ac:dyDescent="0.25">
      <c r="B77" s="34" t="s">
        <v>96</v>
      </c>
    </row>
    <row r="78" spans="2:7" x14ac:dyDescent="0.25">
      <c r="B78" s="34" t="s">
        <v>97</v>
      </c>
    </row>
    <row r="80" spans="2:7" x14ac:dyDescent="0.25">
      <c r="B80" s="44" t="s">
        <v>47</v>
      </c>
      <c r="E80" s="45">
        <f>B9</f>
        <v>2010</v>
      </c>
      <c r="G80" s="45">
        <f>G67</f>
        <v>2009</v>
      </c>
    </row>
    <row r="81" spans="2:7" x14ac:dyDescent="0.25">
      <c r="B81" s="34" t="s">
        <v>48</v>
      </c>
      <c r="E81" s="34">
        <f>'[4]2010'!$L$123</f>
        <v>4723</v>
      </c>
      <c r="G81" s="34">
        <v>5172</v>
      </c>
    </row>
    <row r="82" spans="2:7" x14ac:dyDescent="0.25">
      <c r="B82" s="34" t="s">
        <v>49</v>
      </c>
      <c r="E82" s="34">
        <f>'[4]2010'!$M$123</f>
        <v>548.75</v>
      </c>
      <c r="G82" s="34">
        <v>6177.7999999999993</v>
      </c>
    </row>
    <row r="83" spans="2:7" x14ac:dyDescent="0.25">
      <c r="B83" s="34" t="s">
        <v>50</v>
      </c>
      <c r="E83" s="34">
        <f>'[4]2010'!$S$123</f>
        <v>8500</v>
      </c>
      <c r="G83" s="34">
        <v>8175</v>
      </c>
    </row>
    <row r="84" spans="2:7" x14ac:dyDescent="0.25">
      <c r="B84" s="34" t="s">
        <v>51</v>
      </c>
      <c r="E84" s="40">
        <f>'[4]2010'!$U$123</f>
        <v>0</v>
      </c>
      <c r="G84" s="40">
        <v>100</v>
      </c>
    </row>
    <row r="85" spans="2:7" x14ac:dyDescent="0.25">
      <c r="B85" s="34" t="s">
        <v>78</v>
      </c>
      <c r="E85" s="46">
        <f>'[4]2010'!$V$123</f>
        <v>460.05</v>
      </c>
      <c r="G85" s="46">
        <v>16357.46</v>
      </c>
    </row>
    <row r="86" spans="2:7" x14ac:dyDescent="0.25">
      <c r="E86" s="34">
        <f>SUM(E81:E85)</f>
        <v>14231.8</v>
      </c>
      <c r="G86" s="34">
        <f>SUM(G81:G85)</f>
        <v>35982.259999999995</v>
      </c>
    </row>
    <row r="89" spans="2:7" x14ac:dyDescent="0.25">
      <c r="B89" s="44" t="s">
        <v>90</v>
      </c>
      <c r="E89" s="45">
        <f>B9</f>
        <v>2010</v>
      </c>
      <c r="G89" s="45">
        <f>G67</f>
        <v>2009</v>
      </c>
    </row>
    <row r="90" spans="2:7" x14ac:dyDescent="0.25">
      <c r="B90" s="34" t="s">
        <v>19</v>
      </c>
      <c r="E90" s="34">
        <f>H30</f>
        <v>3159.6700000000128</v>
      </c>
      <c r="G90" s="34">
        <v>3026.37</v>
      </c>
    </row>
    <row r="91" spans="2:7" x14ac:dyDescent="0.25">
      <c r="B91" s="34" t="s">
        <v>20</v>
      </c>
      <c r="E91" s="46">
        <f>H31</f>
        <v>1465.2900000000009</v>
      </c>
      <c r="G91" s="46">
        <v>5540.26</v>
      </c>
    </row>
    <row r="92" spans="2:7" x14ac:dyDescent="0.25">
      <c r="E92" s="34">
        <f>SUM(E90:E91)</f>
        <v>4624.9600000000137</v>
      </c>
      <c r="G92" s="34">
        <f>SUM(G90:G91)</f>
        <v>8566.630000000001</v>
      </c>
    </row>
    <row r="94" spans="2:7" x14ac:dyDescent="0.25">
      <c r="B94" s="43" t="s">
        <v>59</v>
      </c>
    </row>
    <row r="96" spans="2:7" x14ac:dyDescent="0.25">
      <c r="B96" s="40" t="s">
        <v>53</v>
      </c>
    </row>
    <row r="97" spans="2:2" x14ac:dyDescent="0.25">
      <c r="B97" s="34" t="s">
        <v>94</v>
      </c>
    </row>
    <row r="99" spans="2:2" x14ac:dyDescent="0.25">
      <c r="B99" s="40" t="s">
        <v>55</v>
      </c>
    </row>
    <row r="100" spans="2:2" x14ac:dyDescent="0.25">
      <c r="B100" s="34" t="s">
        <v>93</v>
      </c>
    </row>
  </sheetData>
  <mergeCells count="2">
    <mergeCell ref="A7:G7"/>
    <mergeCell ref="A23:G23"/>
  </mergeCells>
  <pageMargins left="0.59055118110236227" right="0.23622047244094491" top="0.39370078740157483" bottom="0.98425196850393704" header="0" footer="0"/>
  <pageSetup paperSize="9" orientation="portrait" horizontalDpi="300" verticalDpi="300" r:id="rId1"/>
  <headerFooter alignWithMargins="0">
    <oddFooter>&amp;C&amp;"Calibri,Normal"Side &amp;P af &amp;N sider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0"/>
  <sheetViews>
    <sheetView workbookViewId="0">
      <selection activeCell="I55" sqref="I55"/>
    </sheetView>
  </sheetViews>
  <sheetFormatPr defaultRowHeight="15" x14ac:dyDescent="0.25"/>
  <cols>
    <col min="1" max="1" width="17.28515625" style="34" customWidth="1"/>
    <col min="2" max="2" width="11" style="34" customWidth="1"/>
    <col min="3" max="3" width="12.85546875" style="34" customWidth="1"/>
    <col min="4" max="4" width="6.85546875" style="34" customWidth="1"/>
    <col min="5" max="5" width="17.28515625" style="34" customWidth="1"/>
    <col min="6" max="6" width="11" style="34" customWidth="1"/>
    <col min="7" max="7" width="12.85546875" style="34" customWidth="1"/>
    <col min="8" max="8" width="9.28515625" style="34" bestFit="1" customWidth="1"/>
    <col min="9" max="9" width="10.28515625" style="34" bestFit="1" customWidth="1"/>
    <col min="10" max="10" width="9.7109375" style="34" bestFit="1" customWidth="1"/>
    <col min="11" max="11" width="9.140625" style="34"/>
    <col min="12" max="12" width="12" style="34" customWidth="1"/>
    <col min="13" max="13" width="10.28515625" style="34" bestFit="1" customWidth="1"/>
    <col min="14" max="16384" width="9.140625" style="34"/>
  </cols>
  <sheetData>
    <row r="3" spans="1:14" x14ac:dyDescent="0.25">
      <c r="B3" s="35" t="s">
        <v>0</v>
      </c>
    </row>
    <row r="4" spans="1:14" x14ac:dyDescent="0.25">
      <c r="B4" s="35"/>
    </row>
    <row r="5" spans="1:14" x14ac:dyDescent="0.25">
      <c r="B5" s="35"/>
    </row>
    <row r="7" spans="1:14" x14ac:dyDescent="0.25">
      <c r="A7" s="58" t="s">
        <v>105</v>
      </c>
      <c r="B7" s="58"/>
      <c r="C7" s="58"/>
      <c r="D7" s="58"/>
      <c r="E7" s="58"/>
      <c r="F7" s="58"/>
      <c r="G7" s="58"/>
    </row>
    <row r="9" spans="1:14" x14ac:dyDescent="0.25">
      <c r="A9" s="35" t="s">
        <v>1</v>
      </c>
      <c r="B9" s="36">
        <v>2011</v>
      </c>
      <c r="C9" s="36">
        <v>2010</v>
      </c>
      <c r="E9" s="35" t="s">
        <v>5</v>
      </c>
      <c r="F9" s="36">
        <f>B9</f>
        <v>2011</v>
      </c>
      <c r="G9" s="36">
        <f>C9</f>
        <v>2010</v>
      </c>
    </row>
    <row r="10" spans="1:14" ht="8.25" customHeight="1" x14ac:dyDescent="0.25"/>
    <row r="11" spans="1:14" x14ac:dyDescent="0.25">
      <c r="A11" s="34" t="s">
        <v>2</v>
      </c>
      <c r="B11" s="34">
        <f>'[5]2011'!$H$123</f>
        <v>47975</v>
      </c>
      <c r="C11" s="34">
        <v>49475</v>
      </c>
      <c r="E11" s="34" t="s">
        <v>2</v>
      </c>
      <c r="F11" s="34">
        <f>'[5]2011'!$O$123</f>
        <v>4185</v>
      </c>
      <c r="G11" s="34">
        <v>4035</v>
      </c>
    </row>
    <row r="12" spans="1:14" x14ac:dyDescent="0.25">
      <c r="A12" s="34" t="s">
        <v>3</v>
      </c>
      <c r="B12" s="34">
        <f>'[5]2011'!$J$123</f>
        <v>2939.84</v>
      </c>
      <c r="C12" s="34">
        <v>2907.33</v>
      </c>
      <c r="E12" s="34" t="s">
        <v>6</v>
      </c>
      <c r="F12" s="34">
        <f>'[5]2011'!$K$123</f>
        <v>14532</v>
      </c>
      <c r="G12" s="34">
        <v>13664</v>
      </c>
      <c r="I12" s="37"/>
      <c r="J12" s="38"/>
      <c r="K12" s="38"/>
      <c r="L12" s="38"/>
      <c r="M12" s="38"/>
      <c r="N12" s="38"/>
    </row>
    <row r="13" spans="1:14" x14ac:dyDescent="0.25">
      <c r="A13" s="34" t="s">
        <v>114</v>
      </c>
      <c r="B13" s="47">
        <f>H32</f>
        <v>-1640.2700000000004</v>
      </c>
      <c r="C13" s="34">
        <v>4624.9600000000137</v>
      </c>
      <c r="E13" s="34" t="s">
        <v>7</v>
      </c>
      <c r="F13" s="34">
        <f>E86</f>
        <v>27558.05</v>
      </c>
      <c r="G13" s="34">
        <v>14231.8</v>
      </c>
    </row>
    <row r="14" spans="1:14" x14ac:dyDescent="0.25">
      <c r="A14" s="34" t="s">
        <v>4</v>
      </c>
      <c r="B14" s="34">
        <v>0</v>
      </c>
      <c r="C14" s="34">
        <v>0</v>
      </c>
      <c r="E14" s="34" t="s">
        <v>8</v>
      </c>
      <c r="F14" s="34">
        <f>'[5]2011'!$P$123</f>
        <v>8476.35</v>
      </c>
      <c r="G14" s="34">
        <v>7511.35</v>
      </c>
    </row>
    <row r="15" spans="1:14" ht="15.75" thickBot="1" x14ac:dyDescent="0.3">
      <c r="B15" s="39">
        <f>SUM(B11:B14)</f>
        <v>49274.569999999992</v>
      </c>
      <c r="C15" s="39">
        <f>SUM(C11:C14)</f>
        <v>57007.290000000015</v>
      </c>
      <c r="E15" s="34" t="s">
        <v>11</v>
      </c>
      <c r="F15" s="34">
        <v>0</v>
      </c>
      <c r="G15" s="34">
        <v>0</v>
      </c>
    </row>
    <row r="16" spans="1:14" ht="15.75" thickTop="1" x14ac:dyDescent="0.25">
      <c r="E16" s="34" t="s">
        <v>9</v>
      </c>
      <c r="F16" s="34">
        <f>'[5]2011'!$R$123</f>
        <v>450</v>
      </c>
      <c r="G16" s="34">
        <v>450</v>
      </c>
    </row>
    <row r="17" spans="1:13" x14ac:dyDescent="0.25">
      <c r="E17" s="34" t="s">
        <v>12</v>
      </c>
      <c r="F17" s="34">
        <v>0</v>
      </c>
      <c r="G17" s="34">
        <v>0</v>
      </c>
    </row>
    <row r="18" spans="1:13" x14ac:dyDescent="0.25">
      <c r="E18" s="34" t="s">
        <v>4</v>
      </c>
      <c r="F18" s="34">
        <f>'[5]2011'!$N$123</f>
        <v>17870.5</v>
      </c>
      <c r="G18" s="34">
        <v>0</v>
      </c>
      <c r="I18" s="34" t="s">
        <v>37</v>
      </c>
    </row>
    <row r="19" spans="1:13" x14ac:dyDescent="0.25">
      <c r="E19" s="34" t="s">
        <v>117</v>
      </c>
      <c r="F19" s="47">
        <f>I19</f>
        <v>-23797.33</v>
      </c>
      <c r="G19" s="34">
        <v>17115.140000000014</v>
      </c>
      <c r="I19" s="34">
        <f>+B15-SUM(F11:F18)</f>
        <v>-23797.33</v>
      </c>
      <c r="K19" s="34" t="s">
        <v>72</v>
      </c>
      <c r="M19" s="34">
        <f>SUM(F11:F18)</f>
        <v>73071.899999999994</v>
      </c>
    </row>
    <row r="20" spans="1:13" ht="15.75" thickBot="1" x14ac:dyDescent="0.3">
      <c r="F20" s="39">
        <f>SUM(F11:F19)</f>
        <v>49274.569999999992</v>
      </c>
      <c r="G20" s="39">
        <f>SUM(G11:G19)</f>
        <v>57007.290000000015</v>
      </c>
      <c r="K20" s="34" t="s">
        <v>71</v>
      </c>
      <c r="M20" s="34">
        <f>'[5]2011'!$K$125</f>
        <v>-73071.899999999994</v>
      </c>
    </row>
    <row r="21" spans="1:13" ht="15.75" thickTop="1" x14ac:dyDescent="0.25">
      <c r="M21" s="34">
        <f>SUM(M19:M20)</f>
        <v>0</v>
      </c>
    </row>
    <row r="23" spans="1:13" x14ac:dyDescent="0.25">
      <c r="A23" s="58" t="s">
        <v>106</v>
      </c>
      <c r="B23" s="58"/>
      <c r="C23" s="58"/>
      <c r="D23" s="58"/>
      <c r="E23" s="58"/>
      <c r="F23" s="58"/>
      <c r="G23" s="58"/>
    </row>
    <row r="25" spans="1:13" x14ac:dyDescent="0.25">
      <c r="A25" s="35" t="s">
        <v>14</v>
      </c>
      <c r="B25" s="36">
        <f>B9</f>
        <v>2011</v>
      </c>
      <c r="C25" s="36">
        <f>C9</f>
        <v>2010</v>
      </c>
      <c r="E25" s="35" t="s">
        <v>15</v>
      </c>
      <c r="F25" s="36">
        <f>B9</f>
        <v>2011</v>
      </c>
      <c r="G25" s="36">
        <f>C9</f>
        <v>2010</v>
      </c>
    </row>
    <row r="26" spans="1:13" ht="8.25" customHeight="1" x14ac:dyDescent="0.25"/>
    <row r="27" spans="1:13" x14ac:dyDescent="0.25">
      <c r="A27" s="34" t="s">
        <v>16</v>
      </c>
      <c r="B27" s="34">
        <f>'[5]2011'!$E$123</f>
        <v>1.8189616479702408E-13</v>
      </c>
      <c r="C27" s="34">
        <v>1.8189616479702408E-13</v>
      </c>
      <c r="E27" s="34" t="s">
        <v>21</v>
      </c>
      <c r="F27" s="34">
        <f>+G30</f>
        <v>179959.01</v>
      </c>
      <c r="G27" s="34">
        <v>162843.87</v>
      </c>
    </row>
    <row r="28" spans="1:13" x14ac:dyDescent="0.25">
      <c r="A28" s="34" t="s">
        <v>18</v>
      </c>
      <c r="B28" s="34">
        <f>'[5]2011'!$G$123</f>
        <v>36475.639999999985</v>
      </c>
      <c r="C28" s="34">
        <v>58632.7</v>
      </c>
      <c r="E28" s="34" t="s">
        <v>117</v>
      </c>
      <c r="F28" s="47">
        <f>+F19</f>
        <v>-23797.33</v>
      </c>
      <c r="G28" s="34">
        <v>17115.14</v>
      </c>
    </row>
    <row r="29" spans="1:13" x14ac:dyDescent="0.25">
      <c r="A29" s="34" t="s">
        <v>19</v>
      </c>
      <c r="B29" s="34">
        <v>111182.46</v>
      </c>
      <c r="C29" s="34">
        <v>109562.96</v>
      </c>
      <c r="H29" s="34" t="s">
        <v>35</v>
      </c>
    </row>
    <row r="30" spans="1:13" ht="15.75" thickBot="1" x14ac:dyDescent="0.3">
      <c r="A30" s="34" t="s">
        <v>20</v>
      </c>
      <c r="B30" s="34">
        <v>8503.58</v>
      </c>
      <c r="C30" s="34">
        <v>11763.35</v>
      </c>
      <c r="E30" s="34" t="s">
        <v>22</v>
      </c>
      <c r="F30" s="39">
        <f>SUM(F27:F28)</f>
        <v>156161.68</v>
      </c>
      <c r="G30" s="39">
        <f>SUM(G27:G28)</f>
        <v>179959.01</v>
      </c>
      <c r="H30" s="34">
        <f>B29-C29</f>
        <v>1619.5</v>
      </c>
    </row>
    <row r="31" spans="1:13" ht="15.75" thickTop="1" x14ac:dyDescent="0.25">
      <c r="F31" s="40"/>
      <c r="G31" s="40"/>
      <c r="H31" s="34">
        <f>B30-C30</f>
        <v>-3259.7700000000004</v>
      </c>
      <c r="I31" s="34" t="s">
        <v>36</v>
      </c>
    </row>
    <row r="32" spans="1:13" ht="15.75" thickBot="1" x14ac:dyDescent="0.3">
      <c r="B32" s="39">
        <f>SUM(B27:B30)</f>
        <v>156161.67999999996</v>
      </c>
      <c r="C32" s="39">
        <f>SUM(C27:C30)</f>
        <v>179959.01</v>
      </c>
      <c r="F32" s="40"/>
      <c r="G32" s="40"/>
      <c r="H32" s="34">
        <f>SUM(H30:H31)</f>
        <v>-1640.2700000000004</v>
      </c>
      <c r="I32" s="34">
        <f>+B32-F30</f>
        <v>0</v>
      </c>
    </row>
    <row r="33" spans="1:7" ht="15.75" thickTop="1" x14ac:dyDescent="0.25"/>
    <row r="35" spans="1:7" x14ac:dyDescent="0.25">
      <c r="A35" s="34" t="s">
        <v>115</v>
      </c>
    </row>
    <row r="39" spans="1:7" x14ac:dyDescent="0.25">
      <c r="G39" s="41" t="s">
        <v>30</v>
      </c>
    </row>
    <row r="42" spans="1:7" x14ac:dyDescent="0.25">
      <c r="A42" s="34" t="s">
        <v>85</v>
      </c>
    </row>
    <row r="44" spans="1:7" x14ac:dyDescent="0.25">
      <c r="A44" s="42" t="s">
        <v>23</v>
      </c>
    </row>
    <row r="45" spans="1:7" x14ac:dyDescent="0.25">
      <c r="A45" s="34" t="s">
        <v>103</v>
      </c>
    </row>
    <row r="46" spans="1:7" x14ac:dyDescent="0.25">
      <c r="A46" s="34" t="s">
        <v>27</v>
      </c>
    </row>
    <row r="50" spans="1:13" x14ac:dyDescent="0.25">
      <c r="B50" s="34" t="s">
        <v>102</v>
      </c>
      <c r="F50" s="41" t="s">
        <v>116</v>
      </c>
    </row>
    <row r="55" spans="1:13" x14ac:dyDescent="0.25">
      <c r="A55" s="35" t="s">
        <v>107</v>
      </c>
    </row>
    <row r="56" spans="1:13" x14ac:dyDescent="0.25">
      <c r="A56" s="35"/>
    </row>
    <row r="57" spans="1:13" x14ac:dyDescent="0.25">
      <c r="A57" s="35"/>
      <c r="B57" s="43" t="s">
        <v>57</v>
      </c>
    </row>
    <row r="58" spans="1:13" x14ac:dyDescent="0.25">
      <c r="A58" s="35"/>
    </row>
    <row r="59" spans="1:13" x14ac:dyDescent="0.25">
      <c r="A59" s="35"/>
      <c r="B59" s="44" t="s">
        <v>39</v>
      </c>
    </row>
    <row r="60" spans="1:13" x14ac:dyDescent="0.25">
      <c r="M60" s="34">
        <v>476</v>
      </c>
    </row>
    <row r="61" spans="1:13" x14ac:dyDescent="0.25">
      <c r="B61" s="34" t="s">
        <v>118</v>
      </c>
      <c r="M61" s="34">
        <v>-8</v>
      </c>
    </row>
    <row r="62" spans="1:13" x14ac:dyDescent="0.25">
      <c r="B62" s="34" t="s">
        <v>119</v>
      </c>
      <c r="M62" s="34">
        <v>22</v>
      </c>
    </row>
    <row r="63" spans="1:13" x14ac:dyDescent="0.25">
      <c r="B63" s="34" t="s">
        <v>120</v>
      </c>
      <c r="M63" s="34">
        <f>SUM(M60:M62)</f>
        <v>490</v>
      </c>
    </row>
    <row r="64" spans="1:13" x14ac:dyDescent="0.25">
      <c r="B64" s="34" t="s">
        <v>101</v>
      </c>
    </row>
    <row r="67" spans="2:11" x14ac:dyDescent="0.25">
      <c r="B67" s="44" t="s">
        <v>43</v>
      </c>
      <c r="E67" s="45">
        <f>B9</f>
        <v>2011</v>
      </c>
      <c r="G67" s="45">
        <f>C9</f>
        <v>2010</v>
      </c>
    </row>
    <row r="68" spans="2:11" x14ac:dyDescent="0.25">
      <c r="B68" s="34" t="s">
        <v>108</v>
      </c>
      <c r="E68" s="34">
        <v>382.26</v>
      </c>
      <c r="G68" s="34">
        <v>399.1</v>
      </c>
    </row>
    <row r="69" spans="2:11" x14ac:dyDescent="0.25">
      <c r="B69" s="34" t="s">
        <v>19</v>
      </c>
      <c r="E69" s="40">
        <v>2203.4</v>
      </c>
      <c r="G69" s="40">
        <v>2203.4</v>
      </c>
    </row>
    <row r="70" spans="2:11" x14ac:dyDescent="0.25">
      <c r="B70" s="34" t="s">
        <v>20</v>
      </c>
      <c r="E70" s="46">
        <f>416.72-62.54</f>
        <v>354.18</v>
      </c>
      <c r="G70" s="46">
        <v>304.83</v>
      </c>
    </row>
    <row r="71" spans="2:11" x14ac:dyDescent="0.25">
      <c r="E71" s="34">
        <f>SUM(E68:E70)</f>
        <v>2939.8399999999997</v>
      </c>
      <c r="G71" s="34">
        <f>SUM(G68:G70)</f>
        <v>2907.33</v>
      </c>
      <c r="I71" s="34">
        <f>B12</f>
        <v>2939.84</v>
      </c>
      <c r="J71" s="34">
        <f>E71</f>
        <v>2939.8399999999997</v>
      </c>
      <c r="K71" s="34">
        <f>+I71-J71</f>
        <v>0</v>
      </c>
    </row>
    <row r="73" spans="2:11" x14ac:dyDescent="0.25">
      <c r="B73" s="43" t="s">
        <v>58</v>
      </c>
    </row>
    <row r="75" spans="2:11" x14ac:dyDescent="0.25">
      <c r="B75" s="44" t="s">
        <v>39</v>
      </c>
    </row>
    <row r="77" spans="2:11" x14ac:dyDescent="0.25">
      <c r="B77" s="34" t="s">
        <v>109</v>
      </c>
    </row>
    <row r="78" spans="2:11" x14ac:dyDescent="0.25">
      <c r="B78" s="34" t="s">
        <v>110</v>
      </c>
    </row>
    <row r="80" spans="2:11" x14ac:dyDescent="0.25">
      <c r="B80" s="44" t="s">
        <v>47</v>
      </c>
      <c r="E80" s="45">
        <f>B9</f>
        <v>2011</v>
      </c>
      <c r="G80" s="45">
        <f>G67</f>
        <v>2010</v>
      </c>
    </row>
    <row r="81" spans="2:7" x14ac:dyDescent="0.25">
      <c r="B81" s="34" t="s">
        <v>48</v>
      </c>
      <c r="E81" s="34">
        <f>'[5]2011'!$L$123</f>
        <v>8062</v>
      </c>
      <c r="G81" s="34">
        <v>4723</v>
      </c>
    </row>
    <row r="82" spans="2:7" x14ac:dyDescent="0.25">
      <c r="B82" s="34" t="s">
        <v>49</v>
      </c>
      <c r="E82" s="34">
        <f>'[5]2011'!$M$123</f>
        <v>1850.55</v>
      </c>
      <c r="G82" s="34">
        <v>548.75</v>
      </c>
    </row>
    <row r="83" spans="2:7" x14ac:dyDescent="0.25">
      <c r="B83" s="34" t="s">
        <v>50</v>
      </c>
      <c r="E83" s="34">
        <f>'[5]2011'!$S$123</f>
        <v>7375</v>
      </c>
      <c r="G83" s="34">
        <v>8500</v>
      </c>
    </row>
    <row r="84" spans="2:7" x14ac:dyDescent="0.25">
      <c r="B84" s="34" t="s">
        <v>51</v>
      </c>
      <c r="E84" s="40">
        <f>'[5]2011'!$U$123</f>
        <v>420</v>
      </c>
      <c r="G84" s="40">
        <v>0</v>
      </c>
    </row>
    <row r="85" spans="2:7" x14ac:dyDescent="0.25">
      <c r="B85" s="34" t="s">
        <v>111</v>
      </c>
      <c r="E85" s="46">
        <f>'[5]2011'!$V$123</f>
        <v>9850.5</v>
      </c>
      <c r="G85" s="46">
        <v>460.05</v>
      </c>
    </row>
    <row r="86" spans="2:7" x14ac:dyDescent="0.25">
      <c r="E86" s="34">
        <f>SUM(E81:E85)</f>
        <v>27558.05</v>
      </c>
      <c r="G86" s="34">
        <f>SUM(G81:G85)</f>
        <v>14231.8</v>
      </c>
    </row>
    <row r="89" spans="2:7" x14ac:dyDescent="0.25">
      <c r="B89" s="44" t="s">
        <v>90</v>
      </c>
      <c r="E89" s="45">
        <f>B9</f>
        <v>2011</v>
      </c>
      <c r="G89" s="45">
        <f>G67</f>
        <v>2010</v>
      </c>
    </row>
    <row r="90" spans="2:7" x14ac:dyDescent="0.25">
      <c r="B90" s="34" t="s">
        <v>19</v>
      </c>
      <c r="E90" s="34">
        <f>H30</f>
        <v>1619.5</v>
      </c>
      <c r="G90" s="34">
        <v>3159.67</v>
      </c>
    </row>
    <row r="91" spans="2:7" x14ac:dyDescent="0.25">
      <c r="B91" s="34" t="s">
        <v>20</v>
      </c>
      <c r="E91" s="48">
        <f>H31</f>
        <v>-3259.7700000000004</v>
      </c>
      <c r="G91" s="46">
        <v>1465.29</v>
      </c>
    </row>
    <row r="92" spans="2:7" x14ac:dyDescent="0.25">
      <c r="E92" s="47">
        <f>SUM(E90:E91)</f>
        <v>-1640.2700000000004</v>
      </c>
      <c r="G92" s="34">
        <f>SUM(G90:G91)</f>
        <v>4624.96</v>
      </c>
    </row>
    <row r="94" spans="2:7" x14ac:dyDescent="0.25">
      <c r="B94" s="43" t="s">
        <v>59</v>
      </c>
    </row>
    <row r="96" spans="2:7" x14ac:dyDescent="0.25">
      <c r="B96" s="40" t="s">
        <v>53</v>
      </c>
    </row>
    <row r="97" spans="2:2" x14ac:dyDescent="0.25">
      <c r="B97" s="34" t="s">
        <v>112</v>
      </c>
    </row>
    <row r="99" spans="2:2" x14ac:dyDescent="0.25">
      <c r="B99" s="40" t="s">
        <v>55</v>
      </c>
    </row>
    <row r="100" spans="2:2" x14ac:dyDescent="0.25">
      <c r="B100" s="34" t="s">
        <v>113</v>
      </c>
    </row>
  </sheetData>
  <mergeCells count="2">
    <mergeCell ref="A7:G7"/>
    <mergeCell ref="A23:G23"/>
  </mergeCells>
  <pageMargins left="0.59055118110236227" right="0.23622047244094491" top="0.39370078740157483" bottom="0.98425196850393704" header="0" footer="0"/>
  <pageSetup paperSize="9" orientation="portrait" horizontalDpi="300" verticalDpi="300" r:id="rId1"/>
  <headerFooter alignWithMargins="0">
    <oddFooter>&amp;C&amp;"Calibri,Normal"Side &amp;P af &amp;N sider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0"/>
  <sheetViews>
    <sheetView workbookViewId="0">
      <selection activeCell="F27" sqref="F27:F28"/>
    </sheetView>
  </sheetViews>
  <sheetFormatPr defaultRowHeight="15" x14ac:dyDescent="0.25"/>
  <cols>
    <col min="1" max="1" width="17.28515625" style="34" customWidth="1"/>
    <col min="2" max="2" width="11" style="34" customWidth="1"/>
    <col min="3" max="3" width="12.85546875" style="34" customWidth="1"/>
    <col min="4" max="4" width="6.85546875" style="34" customWidth="1"/>
    <col min="5" max="5" width="17.28515625" style="34" customWidth="1"/>
    <col min="6" max="6" width="11" style="34" customWidth="1"/>
    <col min="7" max="7" width="12.85546875" style="34" customWidth="1"/>
    <col min="8" max="8" width="9.28515625" style="34" bestFit="1" customWidth="1"/>
    <col min="9" max="9" width="10.28515625" style="34" bestFit="1" customWidth="1"/>
    <col min="10" max="10" width="9.7109375" style="34" bestFit="1" customWidth="1"/>
    <col min="11" max="11" width="9.140625" style="34"/>
    <col min="12" max="12" width="12" style="34" customWidth="1"/>
    <col min="13" max="13" width="10.28515625" style="34" bestFit="1" customWidth="1"/>
    <col min="14" max="16384" width="9.140625" style="34"/>
  </cols>
  <sheetData>
    <row r="2" spans="1:16" x14ac:dyDescent="0.25">
      <c r="L2" s="34" t="s">
        <v>131</v>
      </c>
      <c r="M2" s="34" t="s">
        <v>132</v>
      </c>
      <c r="N2" s="34" t="s">
        <v>133</v>
      </c>
      <c r="O2" s="34" t="s">
        <v>135</v>
      </c>
    </row>
    <row r="3" spans="1:16" x14ac:dyDescent="0.25">
      <c r="B3" s="35" t="s">
        <v>0</v>
      </c>
      <c r="L3" s="34">
        <f>476*100</f>
        <v>47600</v>
      </c>
      <c r="M3" s="34">
        <f>[6]MEDLEM!$H$546</f>
        <v>1200</v>
      </c>
      <c r="N3" s="34">
        <f>SUM(L3:M3)</f>
        <v>48800</v>
      </c>
    </row>
    <row r="4" spans="1:16" x14ac:dyDescent="0.25">
      <c r="B4" s="35"/>
      <c r="K4" s="41" t="s">
        <v>134</v>
      </c>
      <c r="L4" s="34">
        <f>-7*100</f>
        <v>-700</v>
      </c>
      <c r="N4" s="34">
        <f>SUM(L4:M4)</f>
        <v>-700</v>
      </c>
      <c r="P4" s="49" t="s">
        <v>136</v>
      </c>
    </row>
    <row r="5" spans="1:16" x14ac:dyDescent="0.25">
      <c r="B5" s="35"/>
      <c r="L5" s="34">
        <f>SUM(L3:L4)</f>
        <v>46900</v>
      </c>
      <c r="M5" s="34">
        <f>SUM(M3:M4)</f>
        <v>1200</v>
      </c>
      <c r="N5" s="34">
        <f>SUM(N3:N4)</f>
        <v>48100</v>
      </c>
      <c r="O5" s="34">
        <f>'[7]2012'!$H$123</f>
        <v>48100</v>
      </c>
      <c r="P5" s="49">
        <f>+N5-O5</f>
        <v>0</v>
      </c>
    </row>
    <row r="7" spans="1:16" x14ac:dyDescent="0.25">
      <c r="A7" s="58" t="s">
        <v>121</v>
      </c>
      <c r="B7" s="58"/>
      <c r="C7" s="58"/>
      <c r="D7" s="58"/>
      <c r="E7" s="58"/>
      <c r="F7" s="58"/>
      <c r="G7" s="58"/>
    </row>
    <row r="9" spans="1:16" x14ac:dyDescent="0.25">
      <c r="A9" s="35" t="s">
        <v>1</v>
      </c>
      <c r="B9" s="36">
        <v>2012</v>
      </c>
      <c r="C9" s="36">
        <v>2011</v>
      </c>
      <c r="E9" s="35" t="s">
        <v>5</v>
      </c>
      <c r="F9" s="36">
        <f>B9</f>
        <v>2012</v>
      </c>
      <c r="G9" s="36">
        <f>C9</f>
        <v>2011</v>
      </c>
    </row>
    <row r="10" spans="1:16" ht="8.25" customHeight="1" x14ac:dyDescent="0.25"/>
    <row r="11" spans="1:16" x14ac:dyDescent="0.25">
      <c r="A11" s="34" t="s">
        <v>2</v>
      </c>
      <c r="B11" s="34">
        <f>L5</f>
        <v>46900</v>
      </c>
      <c r="C11" s="34">
        <v>47975</v>
      </c>
      <c r="E11" s="34" t="s">
        <v>2</v>
      </c>
      <c r="F11" s="34">
        <f>'[7]2012'!$O$123</f>
        <v>4130</v>
      </c>
      <c r="G11" s="34">
        <v>4185</v>
      </c>
    </row>
    <row r="12" spans="1:16" x14ac:dyDescent="0.25">
      <c r="A12" s="34" t="s">
        <v>137</v>
      </c>
      <c r="B12" s="34">
        <f>M5</f>
        <v>1200</v>
      </c>
      <c r="E12" s="34" t="s">
        <v>6</v>
      </c>
      <c r="F12" s="34">
        <f>'[7]2012'!$K$123</f>
        <v>14405</v>
      </c>
      <c r="G12" s="34">
        <v>14532</v>
      </c>
      <c r="I12" s="37"/>
      <c r="J12" s="38"/>
      <c r="K12" s="38"/>
      <c r="L12" s="38"/>
      <c r="M12" s="38"/>
      <c r="N12" s="38"/>
    </row>
    <row r="13" spans="1:16" x14ac:dyDescent="0.25">
      <c r="A13" s="34" t="s">
        <v>3</v>
      </c>
      <c r="B13" s="34">
        <f>'[7]2012'!$J$123</f>
        <v>2858.8700000000003</v>
      </c>
      <c r="C13" s="34">
        <v>2939.84</v>
      </c>
      <c r="E13" s="34" t="s">
        <v>7</v>
      </c>
      <c r="F13" s="34">
        <f>E86</f>
        <v>12888.29</v>
      </c>
      <c r="G13" s="34">
        <v>27558.05</v>
      </c>
    </row>
    <row r="14" spans="1:16" x14ac:dyDescent="0.25">
      <c r="A14" s="34" t="s">
        <v>114</v>
      </c>
      <c r="B14" s="47">
        <f>H32</f>
        <v>2251.4399999999932</v>
      </c>
      <c r="C14" s="47">
        <v>-1640.2700000000004</v>
      </c>
      <c r="E14" s="34" t="s">
        <v>8</v>
      </c>
      <c r="F14" s="34">
        <f>'[7]2012'!$P$123</f>
        <v>8125.9400000000005</v>
      </c>
      <c r="G14" s="34">
        <v>8476.35</v>
      </c>
    </row>
    <row r="15" spans="1:16" ht="15.75" thickBot="1" x14ac:dyDescent="0.3">
      <c r="B15" s="39">
        <f>SUM(B11:B14)</f>
        <v>53210.31</v>
      </c>
      <c r="C15" s="39">
        <f>SUM(C11:C14)</f>
        <v>49274.569999999992</v>
      </c>
      <c r="E15" s="34" t="s">
        <v>11</v>
      </c>
      <c r="F15" s="34">
        <v>0</v>
      </c>
      <c r="G15" s="34">
        <v>0</v>
      </c>
    </row>
    <row r="16" spans="1:16" ht="15.75" thickTop="1" x14ac:dyDescent="0.25">
      <c r="E16" s="34" t="s">
        <v>9</v>
      </c>
      <c r="F16" s="34">
        <f>'[7]2012'!$R$123</f>
        <v>450</v>
      </c>
      <c r="G16" s="34">
        <v>450</v>
      </c>
    </row>
    <row r="17" spans="1:13" x14ac:dyDescent="0.25">
      <c r="E17" s="34" t="s">
        <v>4</v>
      </c>
      <c r="F17" s="34">
        <f>'[7]2012'!$N$123</f>
        <v>0</v>
      </c>
      <c r="G17" s="34">
        <v>17870.5</v>
      </c>
      <c r="I17" s="34" t="s">
        <v>37</v>
      </c>
    </row>
    <row r="18" spans="1:13" x14ac:dyDescent="0.25">
      <c r="E18" s="34" t="s">
        <v>117</v>
      </c>
      <c r="F18" s="47">
        <f>I18</f>
        <v>13211.079999999994</v>
      </c>
      <c r="G18" s="47">
        <v>-23797.33</v>
      </c>
      <c r="I18" s="34">
        <f>+B15-SUM(F11:F17)</f>
        <v>13211.079999999994</v>
      </c>
      <c r="K18" s="34" t="s">
        <v>72</v>
      </c>
      <c r="M18" s="34">
        <f>SUM(F11:F17)</f>
        <v>39999.230000000003</v>
      </c>
    </row>
    <row r="19" spans="1:13" ht="15.75" thickBot="1" x14ac:dyDescent="0.3">
      <c r="F19" s="39">
        <f>SUM(F11:F18)</f>
        <v>53210.31</v>
      </c>
      <c r="G19" s="39">
        <f>SUM(G11:G18)</f>
        <v>49274.569999999992</v>
      </c>
      <c r="K19" s="34" t="s">
        <v>71</v>
      </c>
      <c r="M19" s="34">
        <f>'[7]2012'!$K$125</f>
        <v>-39999.230000000003</v>
      </c>
    </row>
    <row r="20" spans="1:13" ht="15.75" thickTop="1" x14ac:dyDescent="0.25">
      <c r="M20" s="34">
        <f>SUM(M18:M19)</f>
        <v>0</v>
      </c>
    </row>
    <row r="23" spans="1:13" x14ac:dyDescent="0.25">
      <c r="A23" s="58" t="s">
        <v>138</v>
      </c>
      <c r="B23" s="58"/>
      <c r="C23" s="58"/>
      <c r="D23" s="58"/>
      <c r="E23" s="58"/>
      <c r="F23" s="58"/>
      <c r="G23" s="58"/>
    </row>
    <row r="25" spans="1:13" x14ac:dyDescent="0.25">
      <c r="A25" s="35" t="s">
        <v>14</v>
      </c>
      <c r="B25" s="36">
        <f>B9</f>
        <v>2012</v>
      </c>
      <c r="C25" s="36">
        <f>C9</f>
        <v>2011</v>
      </c>
      <c r="E25" s="35" t="s">
        <v>15</v>
      </c>
      <c r="F25" s="36">
        <f>B9</f>
        <v>2012</v>
      </c>
      <c r="G25" s="36">
        <f>C9</f>
        <v>2011</v>
      </c>
    </row>
    <row r="26" spans="1:13" ht="8.25" customHeight="1" x14ac:dyDescent="0.25"/>
    <row r="27" spans="1:13" x14ac:dyDescent="0.25">
      <c r="A27" s="34" t="s">
        <v>18</v>
      </c>
      <c r="B27" s="34">
        <f>'[7]2012'!$G$123</f>
        <v>47435.279999999977</v>
      </c>
      <c r="C27" s="34">
        <v>36475.639999999985</v>
      </c>
      <c r="E27" s="34" t="s">
        <v>21</v>
      </c>
      <c r="F27" s="34">
        <f>+G30</f>
        <v>156161.68</v>
      </c>
      <c r="G27" s="34">
        <v>179959.01</v>
      </c>
    </row>
    <row r="28" spans="1:13" x14ac:dyDescent="0.25">
      <c r="A28" s="34" t="s">
        <v>19</v>
      </c>
      <c r="B28" s="34">
        <v>111486.53</v>
      </c>
      <c r="C28" s="34">
        <v>111182.46</v>
      </c>
      <c r="E28" s="34" t="s">
        <v>117</v>
      </c>
      <c r="F28" s="47">
        <f>+F18</f>
        <v>13211.079999999994</v>
      </c>
      <c r="G28" s="47">
        <v>-23797.33</v>
      </c>
    </row>
    <row r="29" spans="1:13" x14ac:dyDescent="0.25">
      <c r="A29" s="34" t="s">
        <v>20</v>
      </c>
      <c r="B29" s="34">
        <v>10450.950000000001</v>
      </c>
      <c r="C29" s="34">
        <v>8503.58</v>
      </c>
      <c r="H29" s="34" t="s">
        <v>35</v>
      </c>
    </row>
    <row r="30" spans="1:13" ht="15.75" thickBot="1" x14ac:dyDescent="0.3">
      <c r="E30" s="34" t="s">
        <v>22</v>
      </c>
      <c r="F30" s="39">
        <f>SUM(F27:F28)</f>
        <v>169372.75999999998</v>
      </c>
      <c r="G30" s="39">
        <f>SUM(G27:G28)</f>
        <v>156161.68</v>
      </c>
      <c r="H30" s="34">
        <f>B28-C28</f>
        <v>304.06999999999243</v>
      </c>
    </row>
    <row r="31" spans="1:13" ht="16.5" thickTop="1" thickBot="1" x14ac:dyDescent="0.3">
      <c r="B31" s="39">
        <f>SUM(B27:B29)</f>
        <v>169372.75999999998</v>
      </c>
      <c r="C31" s="39">
        <f>SUM(C27:C29)</f>
        <v>156161.67999999996</v>
      </c>
      <c r="F31" s="40"/>
      <c r="G31" s="40"/>
      <c r="H31" s="34">
        <f>B29-C29</f>
        <v>1947.3700000000008</v>
      </c>
      <c r="I31" s="34" t="s">
        <v>36</v>
      </c>
    </row>
    <row r="32" spans="1:13" ht="15.75" thickTop="1" x14ac:dyDescent="0.25">
      <c r="F32" s="40"/>
      <c r="G32" s="40"/>
      <c r="H32" s="34">
        <f>SUM(H30:H31)</f>
        <v>2251.4399999999932</v>
      </c>
      <c r="I32" s="34">
        <f>+B31-F30</f>
        <v>0</v>
      </c>
    </row>
    <row r="35" spans="1:7" x14ac:dyDescent="0.25">
      <c r="A35" s="34" t="s">
        <v>139</v>
      </c>
    </row>
    <row r="39" spans="1:7" x14ac:dyDescent="0.25">
      <c r="G39" s="41" t="s">
        <v>30</v>
      </c>
    </row>
    <row r="42" spans="1:7" x14ac:dyDescent="0.25">
      <c r="A42" s="34" t="s">
        <v>85</v>
      </c>
    </row>
    <row r="44" spans="1:7" x14ac:dyDescent="0.25">
      <c r="A44" s="42" t="s">
        <v>23</v>
      </c>
    </row>
    <row r="45" spans="1:7" x14ac:dyDescent="0.25">
      <c r="A45" s="34" t="s">
        <v>103</v>
      </c>
    </row>
    <row r="46" spans="1:7" x14ac:dyDescent="0.25">
      <c r="A46" s="34" t="s">
        <v>27</v>
      </c>
    </row>
    <row r="50" spans="1:14" x14ac:dyDescent="0.25">
      <c r="B50" s="34" t="s">
        <v>102</v>
      </c>
      <c r="F50" s="41" t="s">
        <v>116</v>
      </c>
    </row>
    <row r="55" spans="1:14" x14ac:dyDescent="0.25">
      <c r="A55" s="35" t="s">
        <v>122</v>
      </c>
    </row>
    <row r="56" spans="1:14" x14ac:dyDescent="0.25">
      <c r="A56" s="35"/>
    </row>
    <row r="57" spans="1:14" x14ac:dyDescent="0.25">
      <c r="A57" s="35"/>
      <c r="B57" s="43" t="s">
        <v>57</v>
      </c>
    </row>
    <row r="58" spans="1:14" x14ac:dyDescent="0.25">
      <c r="A58" s="35"/>
    </row>
    <row r="59" spans="1:14" x14ac:dyDescent="0.25">
      <c r="A59" s="35"/>
      <c r="B59" s="44" t="s">
        <v>39</v>
      </c>
    </row>
    <row r="60" spans="1:14" x14ac:dyDescent="0.25">
      <c r="M60" s="34">
        <v>476</v>
      </c>
      <c r="N60" s="34" t="s">
        <v>124</v>
      </c>
    </row>
    <row r="61" spans="1:14" x14ac:dyDescent="0.25">
      <c r="B61" s="34" t="s">
        <v>128</v>
      </c>
      <c r="M61" s="34">
        <v>-12</v>
      </c>
      <c r="N61" s="34" t="s">
        <v>126</v>
      </c>
    </row>
    <row r="62" spans="1:14" x14ac:dyDescent="0.25">
      <c r="B62" s="34" t="s">
        <v>129</v>
      </c>
      <c r="M62" s="34">
        <v>12</v>
      </c>
      <c r="N62" s="34" t="s">
        <v>127</v>
      </c>
    </row>
    <row r="63" spans="1:14" x14ac:dyDescent="0.25">
      <c r="B63" s="34" t="s">
        <v>130</v>
      </c>
      <c r="M63" s="34">
        <f>SUM(M60:M62)</f>
        <v>476</v>
      </c>
      <c r="N63" s="34" t="s">
        <v>125</v>
      </c>
    </row>
    <row r="64" spans="1:14" x14ac:dyDescent="0.25">
      <c r="B64" s="34" t="s">
        <v>101</v>
      </c>
    </row>
    <row r="67" spans="2:11" x14ac:dyDescent="0.25">
      <c r="B67" s="44" t="s">
        <v>43</v>
      </c>
      <c r="E67" s="45">
        <f>B9</f>
        <v>2012</v>
      </c>
      <c r="G67" s="45">
        <f>C9</f>
        <v>2011</v>
      </c>
    </row>
    <row r="68" spans="2:11" x14ac:dyDescent="0.25">
      <c r="B68" s="34" t="s">
        <v>108</v>
      </c>
      <c r="E68" s="34">
        <v>338.67</v>
      </c>
      <c r="G68" s="34">
        <v>382.26</v>
      </c>
    </row>
    <row r="69" spans="2:11" x14ac:dyDescent="0.25">
      <c r="B69" s="34" t="s">
        <v>19</v>
      </c>
      <c r="E69" s="40">
        <v>2203.4</v>
      </c>
      <c r="G69" s="40">
        <v>2203.4</v>
      </c>
    </row>
    <row r="70" spans="2:11" x14ac:dyDescent="0.25">
      <c r="B70" s="34" t="s">
        <v>20</v>
      </c>
      <c r="E70" s="46">
        <v>316.8</v>
      </c>
      <c r="G70" s="46">
        <f>416.72-62.54</f>
        <v>354.18</v>
      </c>
    </row>
    <row r="71" spans="2:11" x14ac:dyDescent="0.25">
      <c r="E71" s="34">
        <f>SUM(E68:E70)</f>
        <v>2858.8700000000003</v>
      </c>
      <c r="G71" s="34">
        <f>SUM(G68:G70)</f>
        <v>2939.8399999999997</v>
      </c>
      <c r="I71" s="34">
        <f>B13</f>
        <v>2858.8700000000003</v>
      </c>
      <c r="J71" s="34">
        <f>E71</f>
        <v>2858.8700000000003</v>
      </c>
      <c r="K71" s="34">
        <f>+I71-J71</f>
        <v>0</v>
      </c>
    </row>
    <row r="73" spans="2:11" x14ac:dyDescent="0.25">
      <c r="B73" s="43" t="s">
        <v>58</v>
      </c>
    </row>
    <row r="75" spans="2:11" x14ac:dyDescent="0.25">
      <c r="B75" s="44" t="s">
        <v>39</v>
      </c>
    </row>
    <row r="77" spans="2:11" x14ac:dyDescent="0.25">
      <c r="B77" s="34" t="s">
        <v>123</v>
      </c>
    </row>
    <row r="78" spans="2:11" x14ac:dyDescent="0.25">
      <c r="B78" s="34" t="s">
        <v>110</v>
      </c>
    </row>
    <row r="80" spans="2:11" x14ac:dyDescent="0.25">
      <c r="B80" s="44" t="s">
        <v>47</v>
      </c>
      <c r="E80" s="45">
        <f>B9</f>
        <v>2012</v>
      </c>
      <c r="G80" s="45">
        <f>G67</f>
        <v>2011</v>
      </c>
    </row>
    <row r="81" spans="2:7" x14ac:dyDescent="0.25">
      <c r="B81" s="34" t="s">
        <v>48</v>
      </c>
      <c r="E81" s="34">
        <f>'[7]2012'!$L$123</f>
        <v>492</v>
      </c>
      <c r="G81" s="34">
        <v>8062</v>
      </c>
    </row>
    <row r="82" spans="2:7" x14ac:dyDescent="0.25">
      <c r="B82" s="34" t="s">
        <v>49</v>
      </c>
      <c r="E82" s="34">
        <f>'[7]2012'!$M$123</f>
        <v>3143.54</v>
      </c>
      <c r="G82" s="34">
        <v>1850.55</v>
      </c>
    </row>
    <row r="83" spans="2:7" x14ac:dyDescent="0.25">
      <c r="B83" s="34" t="s">
        <v>50</v>
      </c>
      <c r="E83" s="34">
        <f>'[7]2012'!$S$123</f>
        <v>8900</v>
      </c>
      <c r="G83" s="34">
        <v>7375</v>
      </c>
    </row>
    <row r="84" spans="2:7" x14ac:dyDescent="0.25">
      <c r="B84" s="34" t="s">
        <v>51</v>
      </c>
      <c r="E84" s="40">
        <f>'[7]2012'!$U$123</f>
        <v>0</v>
      </c>
      <c r="G84" s="40">
        <v>420</v>
      </c>
    </row>
    <row r="85" spans="2:7" x14ac:dyDescent="0.25">
      <c r="B85" s="34" t="s">
        <v>111</v>
      </c>
      <c r="E85" s="46">
        <f>'[7]2012'!$V$123</f>
        <v>352.75</v>
      </c>
      <c r="G85" s="46">
        <v>9850.5</v>
      </c>
    </row>
    <row r="86" spans="2:7" x14ac:dyDescent="0.25">
      <c r="E86" s="34">
        <f>SUM(E81:E85)</f>
        <v>12888.29</v>
      </c>
      <c r="G86" s="34">
        <f>SUM(G81:G85)</f>
        <v>27558.05</v>
      </c>
    </row>
    <row r="89" spans="2:7" x14ac:dyDescent="0.25">
      <c r="B89" s="44" t="s">
        <v>142</v>
      </c>
      <c r="E89" s="45">
        <f>B9</f>
        <v>2012</v>
      </c>
      <c r="G89" s="45">
        <f>G67</f>
        <v>2011</v>
      </c>
    </row>
    <row r="90" spans="2:7" x14ac:dyDescent="0.25">
      <c r="B90" s="34" t="s">
        <v>19</v>
      </c>
      <c r="E90" s="34">
        <f>H30</f>
        <v>304.06999999999243</v>
      </c>
      <c r="G90" s="34">
        <v>1619.5</v>
      </c>
    </row>
    <row r="91" spans="2:7" x14ac:dyDescent="0.25">
      <c r="B91" s="34" t="s">
        <v>20</v>
      </c>
      <c r="E91" s="48">
        <f>H31</f>
        <v>1947.3700000000008</v>
      </c>
      <c r="G91" s="48">
        <v>-3259.77</v>
      </c>
    </row>
    <row r="92" spans="2:7" x14ac:dyDescent="0.25">
      <c r="E92" s="47">
        <f>SUM(E90:E91)</f>
        <v>2251.4399999999932</v>
      </c>
      <c r="G92" s="47">
        <f>SUM(G90:G91)</f>
        <v>-1640.27</v>
      </c>
    </row>
    <row r="94" spans="2:7" x14ac:dyDescent="0.25">
      <c r="B94" s="43" t="s">
        <v>59</v>
      </c>
    </row>
    <row r="96" spans="2:7" x14ac:dyDescent="0.25">
      <c r="B96" s="40" t="s">
        <v>53</v>
      </c>
    </row>
    <row r="97" spans="2:2" x14ac:dyDescent="0.25">
      <c r="B97" s="34" t="s">
        <v>140</v>
      </c>
    </row>
    <row r="99" spans="2:2" x14ac:dyDescent="0.25">
      <c r="B99" s="40" t="s">
        <v>55</v>
      </c>
    </row>
    <row r="100" spans="2:2" x14ac:dyDescent="0.25">
      <c r="B100" s="34" t="s">
        <v>141</v>
      </c>
    </row>
  </sheetData>
  <mergeCells count="2">
    <mergeCell ref="A7:G7"/>
    <mergeCell ref="A23:G23"/>
  </mergeCells>
  <pageMargins left="0.59055118110236227" right="0.23622047244094491" top="0.39370078740157483" bottom="0.98425196850393704" header="0" footer="0"/>
  <pageSetup paperSize="9" orientation="portrait" horizontalDpi="300" verticalDpi="300" r:id="rId1"/>
  <headerFooter alignWithMargins="0">
    <oddFooter>&amp;C&amp;"Calibri,Normal"Side &amp;P af &amp;N sider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7"/>
  <sheetViews>
    <sheetView topLeftCell="A67" workbookViewId="0">
      <selection activeCell="B98" sqref="B98"/>
    </sheetView>
  </sheetViews>
  <sheetFormatPr defaultRowHeight="15" x14ac:dyDescent="0.25"/>
  <cols>
    <col min="1" max="1" width="17.28515625" style="34" customWidth="1"/>
    <col min="2" max="3" width="12.85546875" style="34" customWidth="1"/>
    <col min="4" max="4" width="6.85546875" style="34" customWidth="1"/>
    <col min="5" max="5" width="18.28515625" style="34" customWidth="1"/>
    <col min="6" max="6" width="11" style="34" customWidth="1"/>
    <col min="7" max="7" width="12.85546875" style="34" customWidth="1"/>
    <col min="8" max="8" width="13.140625" style="34" customWidth="1"/>
    <col min="9" max="9" width="11.140625" style="34" customWidth="1"/>
    <col min="10" max="10" width="10.140625" style="34" bestFit="1" customWidth="1"/>
    <col min="11" max="11" width="9.140625" style="34"/>
    <col min="12" max="12" width="12" style="34" customWidth="1"/>
    <col min="13" max="13" width="10.28515625" style="34" bestFit="1" customWidth="1"/>
    <col min="14" max="16384" width="9.140625" style="34"/>
  </cols>
  <sheetData>
    <row r="2" spans="1:16" x14ac:dyDescent="0.25">
      <c r="L2" s="34" t="s">
        <v>131</v>
      </c>
      <c r="M2" s="34" t="s">
        <v>132</v>
      </c>
      <c r="N2" s="34" t="s">
        <v>133</v>
      </c>
      <c r="O2" s="34" t="s">
        <v>152</v>
      </c>
    </row>
    <row r="3" spans="1:16" x14ac:dyDescent="0.25">
      <c r="B3" s="35" t="s">
        <v>0</v>
      </c>
      <c r="L3" s="34">
        <f>463*100</f>
        <v>46300</v>
      </c>
      <c r="M3" s="34">
        <f>-[8]MEDLEM!$H$496</f>
        <v>1625</v>
      </c>
      <c r="N3" s="34">
        <f>SUM(L3:M3)</f>
        <v>47925</v>
      </c>
    </row>
    <row r="4" spans="1:16" x14ac:dyDescent="0.25">
      <c r="B4" s="35"/>
      <c r="K4" s="41" t="s">
        <v>134</v>
      </c>
      <c r="L4" s="34">
        <f>-7*100</f>
        <v>-700</v>
      </c>
      <c r="N4" s="34">
        <f>SUM(L4:M4)</f>
        <v>-700</v>
      </c>
      <c r="P4" s="49" t="s">
        <v>136</v>
      </c>
    </row>
    <row r="5" spans="1:16" x14ac:dyDescent="0.25">
      <c r="B5" s="35"/>
      <c r="L5" s="34">
        <f>SUM(L3:L4)</f>
        <v>45600</v>
      </c>
      <c r="M5" s="34">
        <f>SUM(M3:M4)</f>
        <v>1625</v>
      </c>
      <c r="N5" s="34">
        <f>SUM(N3:N4)</f>
        <v>47225</v>
      </c>
      <c r="O5" s="34">
        <f>'[7]2012'!$H$123</f>
        <v>48100</v>
      </c>
      <c r="P5" s="49">
        <f>+N5-O5</f>
        <v>-875</v>
      </c>
    </row>
    <row r="7" spans="1:16" x14ac:dyDescent="0.25">
      <c r="A7" s="58" t="s">
        <v>148</v>
      </c>
      <c r="B7" s="58"/>
      <c r="C7" s="58"/>
      <c r="D7" s="58"/>
      <c r="E7" s="58"/>
      <c r="F7" s="58"/>
      <c r="G7" s="58"/>
    </row>
    <row r="9" spans="1:16" x14ac:dyDescent="0.25">
      <c r="A9" s="35" t="s">
        <v>1</v>
      </c>
      <c r="B9" s="36">
        <v>2013</v>
      </c>
      <c r="C9" s="36">
        <v>2012</v>
      </c>
      <c r="E9" s="35" t="s">
        <v>5</v>
      </c>
      <c r="F9" s="36">
        <f>B9</f>
        <v>2013</v>
      </c>
      <c r="G9" s="36">
        <f>C9</f>
        <v>2012</v>
      </c>
    </row>
    <row r="10" spans="1:16" ht="8.25" customHeight="1" x14ac:dyDescent="0.25"/>
    <row r="11" spans="1:16" x14ac:dyDescent="0.25">
      <c r="A11" s="34" t="s">
        <v>2</v>
      </c>
      <c r="B11" s="34">
        <f>L5</f>
        <v>45600</v>
      </c>
      <c r="C11" s="34">
        <v>46900</v>
      </c>
      <c r="E11" s="34" t="s">
        <v>2</v>
      </c>
      <c r="F11" s="34">
        <f>'[9]2013'!$O$123</f>
        <v>4130</v>
      </c>
      <c r="G11" s="34">
        <v>4130</v>
      </c>
    </row>
    <row r="12" spans="1:16" x14ac:dyDescent="0.25">
      <c r="A12" s="34" t="s">
        <v>137</v>
      </c>
      <c r="B12" s="34">
        <f>M5</f>
        <v>1625</v>
      </c>
      <c r="C12" s="34">
        <v>1200</v>
      </c>
      <c r="E12" s="34" t="s">
        <v>6</v>
      </c>
      <c r="F12" s="34">
        <f>'[9]2013'!$K$123</f>
        <v>15556</v>
      </c>
      <c r="G12" s="34">
        <v>14405</v>
      </c>
      <c r="I12" s="37"/>
      <c r="J12" s="38"/>
      <c r="K12" s="38"/>
      <c r="L12" s="38"/>
      <c r="M12" s="38"/>
      <c r="N12" s="38"/>
    </row>
    <row r="13" spans="1:16" x14ac:dyDescent="0.25">
      <c r="A13" s="34" t="s">
        <v>3</v>
      </c>
      <c r="B13" s="34">
        <f>'[9]2013'!$J$123</f>
        <v>3075.5</v>
      </c>
      <c r="C13" s="34">
        <v>2858.87</v>
      </c>
      <c r="E13" s="34" t="s">
        <v>7</v>
      </c>
      <c r="F13" s="34">
        <f>E86</f>
        <v>19295.190000000006</v>
      </c>
      <c r="G13" s="34">
        <v>12888.29</v>
      </c>
    </row>
    <row r="14" spans="1:16" x14ac:dyDescent="0.25">
      <c r="A14" s="34" t="s">
        <v>114</v>
      </c>
      <c r="B14" s="47">
        <f>H32</f>
        <v>2138.17</v>
      </c>
      <c r="C14" s="47">
        <v>2251.44</v>
      </c>
      <c r="E14" s="34" t="s">
        <v>8</v>
      </c>
      <c r="F14" s="34">
        <f>'[9]2013'!$P$123</f>
        <v>5495.5</v>
      </c>
      <c r="G14" s="34">
        <v>8125.9400000000005</v>
      </c>
    </row>
    <row r="15" spans="1:16" ht="15.75" thickBot="1" x14ac:dyDescent="0.3">
      <c r="B15" s="39">
        <f>SUM(B11:B14)</f>
        <v>52438.67</v>
      </c>
      <c r="C15" s="39">
        <f>SUM(C11:C14)</f>
        <v>53210.310000000005</v>
      </c>
      <c r="E15" s="34" t="s">
        <v>11</v>
      </c>
      <c r="F15" s="34">
        <v>0</v>
      </c>
      <c r="G15" s="34">
        <v>0</v>
      </c>
    </row>
    <row r="16" spans="1:16" ht="15.75" thickTop="1" x14ac:dyDescent="0.25">
      <c r="E16" s="34" t="s">
        <v>9</v>
      </c>
      <c r="F16" s="34">
        <f>'[9]2013'!$R$123</f>
        <v>461.5</v>
      </c>
      <c r="G16" s="34">
        <v>450</v>
      </c>
    </row>
    <row r="17" spans="1:13" x14ac:dyDescent="0.25">
      <c r="E17" s="34" t="s">
        <v>4</v>
      </c>
      <c r="F17" s="34">
        <f>'[9]2013'!$N$123</f>
        <v>0</v>
      </c>
      <c r="G17" s="34">
        <v>0</v>
      </c>
      <c r="I17" s="34" t="s">
        <v>37</v>
      </c>
    </row>
    <row r="18" spans="1:13" x14ac:dyDescent="0.25">
      <c r="E18" s="34" t="s">
        <v>117</v>
      </c>
      <c r="F18" s="47">
        <f>I18</f>
        <v>7500.4799999999959</v>
      </c>
      <c r="G18" s="47">
        <v>13211.079999999994</v>
      </c>
      <c r="I18" s="34">
        <f>+B15-SUM(F11:F17)</f>
        <v>7500.4799999999959</v>
      </c>
      <c r="K18" s="34" t="s">
        <v>72</v>
      </c>
      <c r="M18" s="34">
        <f>SUM(F11:F17)</f>
        <v>44938.19</v>
      </c>
    </row>
    <row r="19" spans="1:13" ht="15.75" thickBot="1" x14ac:dyDescent="0.3">
      <c r="F19" s="39">
        <f>SUM(F11:F18)</f>
        <v>52438.67</v>
      </c>
      <c r="G19" s="39">
        <f>SUM(G11:G18)</f>
        <v>53210.31</v>
      </c>
      <c r="K19" s="34" t="s">
        <v>71</v>
      </c>
      <c r="M19" s="34">
        <f>'[9]2013'!$K$125</f>
        <v>65231.81</v>
      </c>
    </row>
    <row r="20" spans="1:13" ht="15.75" thickTop="1" x14ac:dyDescent="0.25">
      <c r="M20" s="34">
        <f>SUM(M18:M19)</f>
        <v>110170</v>
      </c>
    </row>
    <row r="23" spans="1:13" x14ac:dyDescent="0.25">
      <c r="A23" s="58" t="s">
        <v>149</v>
      </c>
      <c r="B23" s="58"/>
      <c r="C23" s="58"/>
      <c r="D23" s="58"/>
      <c r="E23" s="58"/>
      <c r="F23" s="58"/>
      <c r="G23" s="58"/>
    </row>
    <row r="25" spans="1:13" x14ac:dyDescent="0.25">
      <c r="A25" s="35" t="s">
        <v>14</v>
      </c>
      <c r="B25" s="36">
        <f>B9</f>
        <v>2013</v>
      </c>
      <c r="C25" s="36">
        <f>C9</f>
        <v>2012</v>
      </c>
      <c r="E25" s="35" t="s">
        <v>15</v>
      </c>
      <c r="F25" s="36">
        <f>B9</f>
        <v>2013</v>
      </c>
      <c r="G25" s="36">
        <f>C9</f>
        <v>2012</v>
      </c>
    </row>
    <row r="26" spans="1:13" ht="8.25" customHeight="1" x14ac:dyDescent="0.25"/>
    <row r="27" spans="1:13" x14ac:dyDescent="0.25">
      <c r="A27" s="34" t="s">
        <v>18</v>
      </c>
      <c r="B27" s="34">
        <f>'[9]2013'!$G$123</f>
        <v>162967.59</v>
      </c>
      <c r="C27" s="34">
        <v>47435.279999999977</v>
      </c>
      <c r="E27" s="34" t="s">
        <v>21</v>
      </c>
      <c r="F27" s="34">
        <f>+G30</f>
        <v>169372.75999999998</v>
      </c>
      <c r="G27" s="34">
        <v>156161.68</v>
      </c>
    </row>
    <row r="28" spans="1:13" x14ac:dyDescent="0.25">
      <c r="A28" s="34" t="s">
        <v>19</v>
      </c>
      <c r="B28" s="34">
        <v>0</v>
      </c>
      <c r="C28" s="34">
        <v>111486.53</v>
      </c>
      <c r="E28" s="34" t="s">
        <v>117</v>
      </c>
      <c r="F28" s="47">
        <f>+F18</f>
        <v>7500.4799999999959</v>
      </c>
      <c r="G28" s="47">
        <v>13211.079999999994</v>
      </c>
    </row>
    <row r="29" spans="1:13" x14ac:dyDescent="0.25">
      <c r="A29" s="34" t="s">
        <v>20</v>
      </c>
      <c r="B29" s="34">
        <v>13905.65</v>
      </c>
      <c r="C29" s="34">
        <v>10450.950000000001</v>
      </c>
      <c r="H29" s="34" t="s">
        <v>35</v>
      </c>
    </row>
    <row r="30" spans="1:13" ht="15.75" thickBot="1" x14ac:dyDescent="0.3">
      <c r="E30" s="34" t="s">
        <v>22</v>
      </c>
      <c r="F30" s="39">
        <f>SUM(F27:F28)</f>
        <v>176873.24</v>
      </c>
      <c r="G30" s="39">
        <f>SUM(G27:G28)</f>
        <v>169372.75999999998</v>
      </c>
      <c r="H30" s="34">
        <f>B28-C28+110170</f>
        <v>-1316.5299999999988</v>
      </c>
    </row>
    <row r="31" spans="1:13" ht="16.5" thickTop="1" thickBot="1" x14ac:dyDescent="0.3">
      <c r="B31" s="39">
        <f>SUM(B27:B29)</f>
        <v>176873.24</v>
      </c>
      <c r="C31" s="39">
        <f>SUM(C27:C29)</f>
        <v>169372.75999999998</v>
      </c>
      <c r="F31" s="40"/>
      <c r="G31" s="40"/>
      <c r="H31" s="34">
        <f>B29-C29</f>
        <v>3454.6999999999989</v>
      </c>
      <c r="I31" s="34" t="s">
        <v>36</v>
      </c>
    </row>
    <row r="32" spans="1:13" ht="15.75" thickTop="1" x14ac:dyDescent="0.25">
      <c r="F32" s="40"/>
      <c r="G32" s="40"/>
      <c r="H32" s="34">
        <f>SUM(H30:H31)</f>
        <v>2138.17</v>
      </c>
      <c r="I32" s="34">
        <f>+B31-F30</f>
        <v>0</v>
      </c>
    </row>
    <row r="35" spans="1:7" x14ac:dyDescent="0.25">
      <c r="A35" s="34" t="s">
        <v>143</v>
      </c>
    </row>
    <row r="39" spans="1:7" x14ac:dyDescent="0.25">
      <c r="G39" s="41" t="s">
        <v>30</v>
      </c>
    </row>
    <row r="42" spans="1:7" x14ac:dyDescent="0.25">
      <c r="A42" s="34" t="s">
        <v>151</v>
      </c>
    </row>
    <row r="44" spans="1:7" x14ac:dyDescent="0.25">
      <c r="A44" s="42" t="s">
        <v>23</v>
      </c>
    </row>
    <row r="45" spans="1:7" x14ac:dyDescent="0.25">
      <c r="A45" s="34" t="s">
        <v>103</v>
      </c>
    </row>
    <row r="46" spans="1:7" x14ac:dyDescent="0.25">
      <c r="A46" s="34" t="s">
        <v>27</v>
      </c>
    </row>
    <row r="50" spans="1:14" x14ac:dyDescent="0.25">
      <c r="B50" s="34" t="s">
        <v>102</v>
      </c>
      <c r="F50" s="41" t="s">
        <v>116</v>
      </c>
    </row>
    <row r="55" spans="1:14" x14ac:dyDescent="0.25">
      <c r="A55" s="35" t="s">
        <v>144</v>
      </c>
    </row>
    <row r="56" spans="1:14" x14ac:dyDescent="0.25">
      <c r="A56" s="35"/>
    </row>
    <row r="57" spans="1:14" x14ac:dyDescent="0.25">
      <c r="A57" s="35"/>
      <c r="B57" s="43" t="s">
        <v>57</v>
      </c>
    </row>
    <row r="58" spans="1:14" x14ac:dyDescent="0.25">
      <c r="A58" s="35"/>
    </row>
    <row r="59" spans="1:14" x14ac:dyDescent="0.25">
      <c r="A59" s="35"/>
      <c r="B59" s="44" t="s">
        <v>39</v>
      </c>
    </row>
    <row r="60" spans="1:14" x14ac:dyDescent="0.25">
      <c r="M60" s="34">
        <v>476</v>
      </c>
      <c r="N60" s="34" t="s">
        <v>125</v>
      </c>
    </row>
    <row r="61" spans="1:14" x14ac:dyDescent="0.25">
      <c r="B61" s="34" t="s">
        <v>145</v>
      </c>
      <c r="M61" s="34">
        <v>-36</v>
      </c>
      <c r="N61" s="34" t="s">
        <v>126</v>
      </c>
    </row>
    <row r="62" spans="1:14" x14ac:dyDescent="0.25">
      <c r="B62" s="34" t="s">
        <v>146</v>
      </c>
      <c r="M62" s="34">
        <v>23</v>
      </c>
      <c r="N62" s="34" t="s">
        <v>127</v>
      </c>
    </row>
    <row r="63" spans="1:14" x14ac:dyDescent="0.25">
      <c r="B63" s="34" t="s">
        <v>147</v>
      </c>
      <c r="M63" s="34">
        <f>SUM(M60:M62)</f>
        <v>463</v>
      </c>
      <c r="N63" s="34" t="s">
        <v>124</v>
      </c>
    </row>
    <row r="64" spans="1:14" x14ac:dyDescent="0.25">
      <c r="B64" s="34" t="s">
        <v>101</v>
      </c>
    </row>
    <row r="67" spans="2:11" x14ac:dyDescent="0.25">
      <c r="B67" s="44" t="s">
        <v>43</v>
      </c>
      <c r="E67" s="45">
        <f>B9</f>
        <v>2013</v>
      </c>
      <c r="G67" s="45">
        <f>C9</f>
        <v>2012</v>
      </c>
    </row>
    <row r="68" spans="2:11" x14ac:dyDescent="0.25">
      <c r="B68" s="34" t="s">
        <v>108</v>
      </c>
      <c r="E68" s="34">
        <v>457.06</v>
      </c>
      <c r="G68" s="34">
        <v>338.67</v>
      </c>
    </row>
    <row r="69" spans="2:11" x14ac:dyDescent="0.25">
      <c r="B69" s="34" t="s">
        <v>19</v>
      </c>
      <c r="E69" s="40">
        <v>2203.4</v>
      </c>
      <c r="G69" s="40">
        <v>2203.4</v>
      </c>
    </row>
    <row r="70" spans="2:11" x14ac:dyDescent="0.25">
      <c r="B70" s="34" t="s">
        <v>20</v>
      </c>
      <c r="E70" s="46">
        <f>488.26-73.22</f>
        <v>415.03999999999996</v>
      </c>
      <c r="G70" s="46">
        <v>316.8</v>
      </c>
    </row>
    <row r="71" spans="2:11" x14ac:dyDescent="0.25">
      <c r="E71" s="34">
        <f>SUM(E68:E70)</f>
        <v>3075.5</v>
      </c>
      <c r="G71" s="34">
        <f>SUM(G68:G70)</f>
        <v>2858.8700000000003</v>
      </c>
      <c r="I71" s="34">
        <f>B13</f>
        <v>3075.5</v>
      </c>
      <c r="J71" s="34">
        <f>E71</f>
        <v>3075.5</v>
      </c>
      <c r="K71" s="34">
        <f>+I71-J71</f>
        <v>0</v>
      </c>
    </row>
    <row r="73" spans="2:11" x14ac:dyDescent="0.25">
      <c r="B73" s="43" t="s">
        <v>58</v>
      </c>
    </row>
    <row r="75" spans="2:11" x14ac:dyDescent="0.25">
      <c r="B75" s="44" t="s">
        <v>39</v>
      </c>
    </row>
    <row r="77" spans="2:11" x14ac:dyDescent="0.25">
      <c r="B77" s="34" t="s">
        <v>123</v>
      </c>
    </row>
    <row r="78" spans="2:11" x14ac:dyDescent="0.25">
      <c r="B78" s="34" t="s">
        <v>110</v>
      </c>
    </row>
    <row r="80" spans="2:11" x14ac:dyDescent="0.25">
      <c r="B80" s="44" t="s">
        <v>47</v>
      </c>
      <c r="E80" s="45">
        <f>B9</f>
        <v>2013</v>
      </c>
      <c r="G80" s="45">
        <f>G67</f>
        <v>2012</v>
      </c>
      <c r="H80" s="41" t="s">
        <v>150</v>
      </c>
    </row>
    <row r="81" spans="2:8" x14ac:dyDescent="0.25">
      <c r="B81" s="34" t="s">
        <v>48</v>
      </c>
      <c r="E81" s="34">
        <f>'[9]2013'!$L$123</f>
        <v>3576</v>
      </c>
      <c r="G81" s="34">
        <v>492</v>
      </c>
      <c r="H81" s="50">
        <f>E81/G81-1</f>
        <v>6.2682926829268295</v>
      </c>
    </row>
    <row r="82" spans="2:8" x14ac:dyDescent="0.25">
      <c r="B82" s="34" t="s">
        <v>49</v>
      </c>
      <c r="E82" s="34">
        <f>'[9]2013'!$M$123</f>
        <v>2513.9499999999998</v>
      </c>
      <c r="G82" s="34">
        <v>3143.54</v>
      </c>
      <c r="H82" s="50">
        <f>E82/G82-1</f>
        <v>-0.20028057540225352</v>
      </c>
    </row>
    <row r="83" spans="2:8" x14ac:dyDescent="0.25">
      <c r="B83" s="34" t="s">
        <v>50</v>
      </c>
      <c r="E83" s="34">
        <f>'[9]2013'!$S$123</f>
        <v>10000</v>
      </c>
      <c r="G83" s="34">
        <v>8900</v>
      </c>
      <c r="H83" s="50">
        <f>E83/G83-1</f>
        <v>0.12359550561797761</v>
      </c>
    </row>
    <row r="84" spans="2:8" x14ac:dyDescent="0.25">
      <c r="B84" s="34" t="s">
        <v>51</v>
      </c>
      <c r="E84" s="40">
        <f>'[9]2013'!$U$123</f>
        <v>0</v>
      </c>
      <c r="G84" s="40">
        <v>0</v>
      </c>
      <c r="H84" s="50" t="e">
        <f>E84/G84-1</f>
        <v>#DIV/0!</v>
      </c>
    </row>
    <row r="85" spans="2:8" x14ac:dyDescent="0.25">
      <c r="B85" s="34" t="s">
        <v>111</v>
      </c>
      <c r="E85" s="46">
        <f>'[9]2013'!$V$123+110170</f>
        <v>3205.2400000000052</v>
      </c>
      <c r="G85" s="46">
        <v>352.75</v>
      </c>
      <c r="H85" s="50">
        <f>E85/G85-1</f>
        <v>8.0864351523742179</v>
      </c>
    </row>
    <row r="86" spans="2:8" x14ac:dyDescent="0.25">
      <c r="E86" s="34">
        <f>SUM(E81:E85)</f>
        <v>19295.190000000006</v>
      </c>
      <c r="G86" s="34">
        <f>SUM(G81:G85)</f>
        <v>12888.29</v>
      </c>
    </row>
    <row r="89" spans="2:8" x14ac:dyDescent="0.25">
      <c r="B89" s="44" t="s">
        <v>142</v>
      </c>
      <c r="E89" s="45">
        <f>B9</f>
        <v>2013</v>
      </c>
      <c r="G89" s="45">
        <f>G67</f>
        <v>2012</v>
      </c>
    </row>
    <row r="90" spans="2:8" x14ac:dyDescent="0.25">
      <c r="B90" s="34" t="s">
        <v>19</v>
      </c>
      <c r="E90" s="47">
        <f>H30</f>
        <v>-1316.5299999999988</v>
      </c>
      <c r="G90" s="34">
        <v>304.07</v>
      </c>
    </row>
    <row r="91" spans="2:8" x14ac:dyDescent="0.25">
      <c r="B91" s="34" t="s">
        <v>20</v>
      </c>
      <c r="E91" s="48">
        <f>H31</f>
        <v>3454.6999999999989</v>
      </c>
      <c r="G91" s="48">
        <v>1947.37</v>
      </c>
    </row>
    <row r="92" spans="2:8" x14ac:dyDescent="0.25">
      <c r="E92" s="47">
        <f>SUM(E90:E91)</f>
        <v>2138.17</v>
      </c>
      <c r="G92" s="47">
        <f>SUM(G90:G91)</f>
        <v>2251.44</v>
      </c>
    </row>
    <row r="94" spans="2:8" x14ac:dyDescent="0.25">
      <c r="B94" s="43" t="s">
        <v>59</v>
      </c>
    </row>
    <row r="96" spans="2:8" x14ac:dyDescent="0.25">
      <c r="B96" s="40" t="s">
        <v>55</v>
      </c>
    </row>
    <row r="97" spans="2:2" x14ac:dyDescent="0.25">
      <c r="B97" s="34" t="s">
        <v>153</v>
      </c>
    </row>
  </sheetData>
  <mergeCells count="2">
    <mergeCell ref="A7:G7"/>
    <mergeCell ref="A23:G23"/>
  </mergeCells>
  <pageMargins left="0.59055118110236227" right="0.23622047244094491" top="0.39370078740157483" bottom="0.98425196850393704" header="0" footer="0"/>
  <pageSetup paperSize="9" orientation="portrait" horizontalDpi="300" verticalDpi="300" r:id="rId1"/>
  <headerFooter alignWithMargins="0">
    <oddFooter>&amp;C&amp;"Calibri,Normal"Side &amp;P af &amp;N sider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8"/>
  <sheetViews>
    <sheetView topLeftCell="A7" workbookViewId="0">
      <selection activeCell="B29" sqref="B29"/>
    </sheetView>
  </sheetViews>
  <sheetFormatPr defaultRowHeight="15" x14ac:dyDescent="0.25"/>
  <cols>
    <col min="1" max="1" width="17.28515625" style="34" customWidth="1"/>
    <col min="2" max="3" width="12.85546875" style="34" customWidth="1"/>
    <col min="4" max="4" width="6.85546875" style="34" customWidth="1"/>
    <col min="5" max="5" width="18.28515625" style="34" customWidth="1"/>
    <col min="6" max="6" width="11" style="34" customWidth="1"/>
    <col min="7" max="7" width="12.85546875" style="34" customWidth="1"/>
    <col min="8" max="8" width="13.140625" style="34" customWidth="1"/>
    <col min="9" max="9" width="11.140625" style="34" customWidth="1"/>
    <col min="10" max="10" width="10.140625" style="34" bestFit="1" customWidth="1"/>
    <col min="11" max="11" width="9.140625" style="34"/>
    <col min="12" max="12" width="12" style="34" customWidth="1"/>
    <col min="13" max="13" width="10.28515625" style="34" bestFit="1" customWidth="1"/>
    <col min="14" max="16384" width="9.140625" style="34"/>
  </cols>
  <sheetData>
    <row r="2" spans="1:16" x14ac:dyDescent="0.25">
      <c r="L2" s="34" t="s">
        <v>131</v>
      </c>
      <c r="M2" s="34" t="s">
        <v>132</v>
      </c>
      <c r="N2" s="34" t="s">
        <v>133</v>
      </c>
      <c r="O2" s="34" t="s">
        <v>152</v>
      </c>
    </row>
    <row r="3" spans="1:16" x14ac:dyDescent="0.25">
      <c r="B3" s="35" t="s">
        <v>0</v>
      </c>
      <c r="L3" s="34">
        <f>500*100</f>
        <v>50000</v>
      </c>
      <c r="M3" s="34">
        <f>[10]MEDLEM!$H$576</f>
        <v>1475</v>
      </c>
      <c r="N3" s="34">
        <f>SUM(L3:M3)</f>
        <v>51475</v>
      </c>
    </row>
    <row r="4" spans="1:16" x14ac:dyDescent="0.25">
      <c r="B4" s="35"/>
      <c r="K4" s="41" t="s">
        <v>134</v>
      </c>
      <c r="L4" s="34">
        <f>-7*100</f>
        <v>-700</v>
      </c>
      <c r="N4" s="34">
        <f>SUM(L4:M4)</f>
        <v>-700</v>
      </c>
      <c r="P4" s="49" t="s">
        <v>136</v>
      </c>
    </row>
    <row r="5" spans="1:16" x14ac:dyDescent="0.25">
      <c r="B5" s="35"/>
      <c r="L5" s="34">
        <f>SUM(L3:L4)</f>
        <v>49300</v>
      </c>
      <c r="M5" s="34">
        <f>SUM(M3:M4)</f>
        <v>1475</v>
      </c>
      <c r="N5" s="34">
        <f>SUM(N3:N4)</f>
        <v>50775</v>
      </c>
      <c r="O5" s="34">
        <f>'[9]2014'!$H$123</f>
        <v>50775</v>
      </c>
      <c r="P5" s="49">
        <f>+N5-O5</f>
        <v>0</v>
      </c>
    </row>
    <row r="7" spans="1:16" x14ac:dyDescent="0.25">
      <c r="A7" s="58" t="s">
        <v>165</v>
      </c>
      <c r="B7" s="58"/>
      <c r="C7" s="58"/>
      <c r="D7" s="58"/>
      <c r="E7" s="58"/>
      <c r="F7" s="58"/>
      <c r="G7" s="58"/>
    </row>
    <row r="9" spans="1:16" x14ac:dyDescent="0.25">
      <c r="A9" s="35" t="s">
        <v>1</v>
      </c>
      <c r="B9" s="36">
        <v>2014</v>
      </c>
      <c r="C9" s="36">
        <v>2013</v>
      </c>
      <c r="E9" s="35" t="s">
        <v>5</v>
      </c>
      <c r="F9" s="36">
        <f>B9</f>
        <v>2014</v>
      </c>
      <c r="G9" s="36">
        <f>C9</f>
        <v>2013</v>
      </c>
    </row>
    <row r="10" spans="1:16" ht="8.25" customHeight="1" x14ac:dyDescent="0.25"/>
    <row r="11" spans="1:16" x14ac:dyDescent="0.25">
      <c r="A11" s="34" t="s">
        <v>2</v>
      </c>
      <c r="B11" s="34">
        <f>L5</f>
        <v>49300</v>
      </c>
      <c r="C11" s="34">
        <v>45600</v>
      </c>
      <c r="E11" s="34" t="s">
        <v>2</v>
      </c>
      <c r="F11" s="34">
        <f>'[9]2014'!$O$123</f>
        <v>2142.5</v>
      </c>
      <c r="G11" s="34">
        <v>4130</v>
      </c>
    </row>
    <row r="12" spans="1:16" x14ac:dyDescent="0.25">
      <c r="A12" s="34" t="s">
        <v>137</v>
      </c>
      <c r="B12" s="34">
        <f>M5</f>
        <v>1475</v>
      </c>
      <c r="C12" s="34">
        <v>1625</v>
      </c>
      <c r="E12" s="34" t="s">
        <v>6</v>
      </c>
      <c r="F12" s="34">
        <f>'[9]2014'!$K$123</f>
        <v>13772.5</v>
      </c>
      <c r="G12" s="34">
        <v>15556</v>
      </c>
      <c r="I12" s="37"/>
      <c r="J12" s="38"/>
      <c r="K12" s="38"/>
      <c r="L12" s="38"/>
      <c r="M12" s="38"/>
      <c r="N12" s="38"/>
    </row>
    <row r="13" spans="1:16" x14ac:dyDescent="0.25">
      <c r="A13" s="34" t="s">
        <v>3</v>
      </c>
      <c r="B13" s="34">
        <f>'[9]2014'!$J$123</f>
        <v>1586.89</v>
      </c>
      <c r="C13" s="34">
        <v>3075.5</v>
      </c>
      <c r="E13" s="34" t="s">
        <v>7</v>
      </c>
      <c r="F13" s="34">
        <f>E87</f>
        <v>30009.200000000004</v>
      </c>
      <c r="G13" s="34">
        <v>19295.190000000006</v>
      </c>
    </row>
    <row r="14" spans="1:16" x14ac:dyDescent="0.25">
      <c r="A14" s="34" t="s">
        <v>114</v>
      </c>
      <c r="B14" s="47">
        <f>H32</f>
        <v>-19.299999999999272</v>
      </c>
      <c r="C14" s="47">
        <v>2138.17</v>
      </c>
      <c r="E14" s="34" t="s">
        <v>8</v>
      </c>
      <c r="F14" s="34">
        <f>'[9]2014'!$P$123</f>
        <v>5685.95</v>
      </c>
      <c r="G14" s="34">
        <v>5495.5</v>
      </c>
    </row>
    <row r="15" spans="1:16" ht="15.75" thickBot="1" x14ac:dyDescent="0.3">
      <c r="B15" s="39">
        <f>SUM(B11:B14)</f>
        <v>52342.59</v>
      </c>
      <c r="C15" s="39">
        <f>SUM(C11:C14)</f>
        <v>52438.67</v>
      </c>
      <c r="E15" s="34" t="s">
        <v>11</v>
      </c>
      <c r="F15" s="34">
        <v>0</v>
      </c>
      <c r="G15" s="34">
        <v>0</v>
      </c>
    </row>
    <row r="16" spans="1:16" ht="15.75" thickTop="1" x14ac:dyDescent="0.25">
      <c r="E16" s="34" t="s">
        <v>9</v>
      </c>
      <c r="F16" s="34">
        <f>'[9]2014'!$R$123</f>
        <v>300</v>
      </c>
      <c r="G16" s="34">
        <v>461.5</v>
      </c>
    </row>
    <row r="17" spans="1:13" x14ac:dyDescent="0.25">
      <c r="E17" s="34" t="s">
        <v>4</v>
      </c>
      <c r="F17" s="34">
        <f>'[9]2014'!$N$123</f>
        <v>0</v>
      </c>
      <c r="G17" s="34">
        <v>0</v>
      </c>
      <c r="I17" s="34" t="s">
        <v>37</v>
      </c>
    </row>
    <row r="18" spans="1:13" x14ac:dyDescent="0.25">
      <c r="E18" s="34" t="s">
        <v>117</v>
      </c>
      <c r="F18" s="47">
        <f>I18</f>
        <v>432.43999999999505</v>
      </c>
      <c r="G18" s="47">
        <v>7500.4799999999959</v>
      </c>
      <c r="I18" s="34">
        <f>+B15-SUM(F11:F17)</f>
        <v>432.43999999999505</v>
      </c>
      <c r="K18" s="34" t="s">
        <v>72</v>
      </c>
      <c r="M18" s="34">
        <f>SUM(F11:F17)</f>
        <v>51910.15</v>
      </c>
    </row>
    <row r="19" spans="1:13" ht="15.75" thickBot="1" x14ac:dyDescent="0.3">
      <c r="F19" s="39">
        <f>SUM(F11:F18)</f>
        <v>52342.59</v>
      </c>
      <c r="G19" s="39">
        <f>SUM(G11:G18)</f>
        <v>52438.67</v>
      </c>
      <c r="K19" s="34" t="s">
        <v>71</v>
      </c>
      <c r="M19" s="34">
        <f>'[9]2014'!$K$125</f>
        <v>-51910.15</v>
      </c>
    </row>
    <row r="20" spans="1:13" ht="15.75" thickTop="1" x14ac:dyDescent="0.25">
      <c r="M20" s="34">
        <f>SUM(M18:M19)</f>
        <v>0</v>
      </c>
    </row>
    <row r="23" spans="1:13" x14ac:dyDescent="0.25">
      <c r="A23" s="58" t="s">
        <v>166</v>
      </c>
      <c r="B23" s="58"/>
      <c r="C23" s="58"/>
      <c r="D23" s="58"/>
      <c r="E23" s="58"/>
      <c r="F23" s="58"/>
      <c r="G23" s="58"/>
    </row>
    <row r="25" spans="1:13" x14ac:dyDescent="0.25">
      <c r="A25" s="35" t="s">
        <v>14</v>
      </c>
      <c r="B25" s="36">
        <f>B9</f>
        <v>2014</v>
      </c>
      <c r="C25" s="36">
        <f>C9</f>
        <v>2013</v>
      </c>
      <c r="E25" s="35" t="s">
        <v>15</v>
      </c>
      <c r="F25" s="36">
        <f>B9</f>
        <v>2014</v>
      </c>
      <c r="G25" s="36">
        <f>C9</f>
        <v>2013</v>
      </c>
    </row>
    <row r="26" spans="1:13" ht="8.25" customHeight="1" x14ac:dyDescent="0.25"/>
    <row r="27" spans="1:13" x14ac:dyDescent="0.25">
      <c r="A27" s="34" t="s">
        <v>18</v>
      </c>
      <c r="B27" s="34">
        <f>'[9]2014'!$G$123</f>
        <v>163419.32999999996</v>
      </c>
      <c r="C27" s="34">
        <v>162967.59</v>
      </c>
      <c r="E27" s="34" t="s">
        <v>21</v>
      </c>
      <c r="F27" s="34">
        <f>+G30</f>
        <v>176873.24000000002</v>
      </c>
      <c r="G27" s="34">
        <v>169372.76</v>
      </c>
    </row>
    <row r="28" spans="1:13" x14ac:dyDescent="0.25">
      <c r="A28" s="34" t="s">
        <v>19</v>
      </c>
      <c r="B28" s="34">
        <v>0</v>
      </c>
      <c r="C28" s="34">
        <v>0</v>
      </c>
      <c r="E28" s="34" t="s">
        <v>117</v>
      </c>
      <c r="F28" s="47">
        <f>+F18</f>
        <v>432.43999999999505</v>
      </c>
      <c r="G28" s="47">
        <v>7500.48</v>
      </c>
    </row>
    <row r="29" spans="1:13" x14ac:dyDescent="0.25">
      <c r="A29" s="34" t="s">
        <v>20</v>
      </c>
      <c r="B29" s="34">
        <v>13886.35</v>
      </c>
      <c r="C29" s="34">
        <v>13905.65</v>
      </c>
      <c r="H29" s="34" t="s">
        <v>35</v>
      </c>
    </row>
    <row r="30" spans="1:13" ht="15.75" thickBot="1" x14ac:dyDescent="0.3">
      <c r="E30" s="34" t="s">
        <v>22</v>
      </c>
      <c r="F30" s="39">
        <f>SUM(F27:F28)</f>
        <v>177305.68000000002</v>
      </c>
      <c r="G30" s="39">
        <f>SUM(G27:G28)</f>
        <v>176873.24000000002</v>
      </c>
      <c r="H30" s="34">
        <f>B28-C28</f>
        <v>0</v>
      </c>
      <c r="M30" s="34">
        <f>+F30-B31</f>
        <v>0</v>
      </c>
    </row>
    <row r="31" spans="1:13" ht="16.5" thickTop="1" thickBot="1" x14ac:dyDescent="0.3">
      <c r="B31" s="39">
        <f>SUM(B27:B29)</f>
        <v>177305.67999999996</v>
      </c>
      <c r="C31" s="39">
        <f>SUM(C27:C29)</f>
        <v>176873.24</v>
      </c>
      <c r="F31" s="40"/>
      <c r="G31" s="40"/>
      <c r="H31" s="34">
        <f>B29-C29</f>
        <v>-19.299999999999272</v>
      </c>
      <c r="I31" s="34" t="s">
        <v>36</v>
      </c>
    </row>
    <row r="32" spans="1:13" ht="15.75" thickTop="1" x14ac:dyDescent="0.25">
      <c r="F32" s="40"/>
      <c r="G32" s="40"/>
      <c r="H32" s="34">
        <f>SUM(H30:H31)</f>
        <v>-19.299999999999272</v>
      </c>
      <c r="I32" s="34">
        <f>+B31-F30</f>
        <v>0</v>
      </c>
    </row>
    <row r="35" spans="1:7" x14ac:dyDescent="0.25">
      <c r="A35" s="34" t="s">
        <v>161</v>
      </c>
    </row>
    <row r="39" spans="1:7" x14ac:dyDescent="0.25">
      <c r="G39" s="41" t="s">
        <v>30</v>
      </c>
    </row>
    <row r="42" spans="1:7" x14ac:dyDescent="0.25">
      <c r="A42" s="34" t="s">
        <v>151</v>
      </c>
    </row>
    <row r="44" spans="1:7" x14ac:dyDescent="0.25">
      <c r="A44" s="42" t="s">
        <v>23</v>
      </c>
    </row>
    <row r="45" spans="1:7" x14ac:dyDescent="0.25">
      <c r="A45" s="34" t="s">
        <v>103</v>
      </c>
    </row>
    <row r="46" spans="1:7" x14ac:dyDescent="0.25">
      <c r="A46" s="34" t="s">
        <v>27</v>
      </c>
    </row>
    <row r="50" spans="1:15" x14ac:dyDescent="0.25">
      <c r="B50" s="34" t="s">
        <v>102</v>
      </c>
      <c r="F50" s="41" t="s">
        <v>116</v>
      </c>
    </row>
    <row r="55" spans="1:15" x14ac:dyDescent="0.25">
      <c r="A55" s="35" t="s">
        <v>162</v>
      </c>
    </row>
    <row r="56" spans="1:15" x14ac:dyDescent="0.25">
      <c r="A56" s="35"/>
    </row>
    <row r="57" spans="1:15" x14ac:dyDescent="0.25">
      <c r="A57" s="35"/>
      <c r="B57" s="43" t="s">
        <v>57</v>
      </c>
    </row>
    <row r="58" spans="1:15" x14ac:dyDescent="0.25">
      <c r="A58" s="35"/>
    </row>
    <row r="59" spans="1:15" x14ac:dyDescent="0.25">
      <c r="A59" s="35"/>
      <c r="B59" s="44" t="s">
        <v>39</v>
      </c>
    </row>
    <row r="60" spans="1:15" x14ac:dyDescent="0.25">
      <c r="M60" s="34">
        <v>463</v>
      </c>
      <c r="N60" s="34" t="s">
        <v>125</v>
      </c>
    </row>
    <row r="61" spans="1:15" x14ac:dyDescent="0.25">
      <c r="B61" s="34" t="s">
        <v>154</v>
      </c>
      <c r="M61" s="34">
        <v>-19</v>
      </c>
      <c r="N61" s="34" t="s">
        <v>126</v>
      </c>
    </row>
    <row r="62" spans="1:15" x14ac:dyDescent="0.25">
      <c r="B62" s="34" t="s">
        <v>155</v>
      </c>
      <c r="M62" s="34">
        <v>56</v>
      </c>
      <c r="N62" s="34" t="s">
        <v>127</v>
      </c>
      <c r="O62" s="34">
        <f>SUM(M61:M62)</f>
        <v>37</v>
      </c>
    </row>
    <row r="63" spans="1:15" x14ac:dyDescent="0.25">
      <c r="B63" s="34" t="s">
        <v>156</v>
      </c>
      <c r="M63" s="34">
        <f>SUM(M60:M62)</f>
        <v>500</v>
      </c>
      <c r="N63" s="34" t="s">
        <v>124</v>
      </c>
    </row>
    <row r="64" spans="1:15" x14ac:dyDescent="0.25">
      <c r="B64" s="34" t="s">
        <v>101</v>
      </c>
    </row>
    <row r="67" spans="2:13" x14ac:dyDescent="0.25">
      <c r="B67" s="44" t="s">
        <v>43</v>
      </c>
      <c r="E67" s="45">
        <f>B9</f>
        <v>2014</v>
      </c>
      <c r="G67" s="45">
        <f>C9</f>
        <v>2013</v>
      </c>
    </row>
    <row r="68" spans="2:13" x14ac:dyDescent="0.25">
      <c r="B68" s="34" t="s">
        <v>108</v>
      </c>
      <c r="E68" s="34">
        <v>1061.18</v>
      </c>
      <c r="G68" s="34">
        <v>457.06</v>
      </c>
    </row>
    <row r="69" spans="2:13" x14ac:dyDescent="0.25">
      <c r="B69" s="34" t="s">
        <v>19</v>
      </c>
      <c r="E69" s="40">
        <v>0</v>
      </c>
      <c r="G69" s="40">
        <v>2203.4</v>
      </c>
    </row>
    <row r="70" spans="2:13" x14ac:dyDescent="0.25">
      <c r="B70" s="34" t="s">
        <v>20</v>
      </c>
      <c r="E70" s="46">
        <v>525.71</v>
      </c>
      <c r="G70" s="46">
        <v>415.04</v>
      </c>
    </row>
    <row r="71" spans="2:13" x14ac:dyDescent="0.25">
      <c r="E71" s="34">
        <f>SUM(E68:E70)</f>
        <v>1586.89</v>
      </c>
      <c r="G71" s="34">
        <f>SUM(G68:G70)</f>
        <v>3075.5</v>
      </c>
      <c r="I71" s="34">
        <f>B13</f>
        <v>1586.89</v>
      </c>
      <c r="J71" s="34">
        <f>E71</f>
        <v>1586.89</v>
      </c>
      <c r="K71" s="34">
        <f>+I71-J71</f>
        <v>0</v>
      </c>
    </row>
    <row r="73" spans="2:13" x14ac:dyDescent="0.25">
      <c r="B73" s="43" t="s">
        <v>58</v>
      </c>
    </row>
    <row r="75" spans="2:13" x14ac:dyDescent="0.25">
      <c r="B75" s="44" t="s">
        <v>39</v>
      </c>
    </row>
    <row r="77" spans="2:13" x14ac:dyDescent="0.25">
      <c r="B77" s="34" t="s">
        <v>163</v>
      </c>
    </row>
    <row r="79" spans="2:13" x14ac:dyDescent="0.25">
      <c r="L79" s="34" t="s">
        <v>159</v>
      </c>
      <c r="M79" s="34" t="s">
        <v>160</v>
      </c>
    </row>
    <row r="80" spans="2:13" x14ac:dyDescent="0.25">
      <c r="B80" s="44" t="s">
        <v>47</v>
      </c>
      <c r="E80" s="45">
        <f>B9</f>
        <v>2014</v>
      </c>
      <c r="G80" s="45">
        <f>G67</f>
        <v>2013</v>
      </c>
      <c r="H80" s="41" t="s">
        <v>150</v>
      </c>
      <c r="L80" s="34">
        <v>450</v>
      </c>
      <c r="M80" s="34">
        <v>766</v>
      </c>
    </row>
    <row r="81" spans="2:13" x14ac:dyDescent="0.25">
      <c r="B81" s="34" t="s">
        <v>48</v>
      </c>
      <c r="E81" s="34">
        <f>'[9]2014'!$L$123</f>
        <v>8910</v>
      </c>
      <c r="G81" s="34">
        <v>3576</v>
      </c>
      <c r="H81" s="50">
        <f t="shared" ref="H81:H86" si="0">E81/G81-1</f>
        <v>1.4916107382550337</v>
      </c>
      <c r="L81" s="34">
        <v>615</v>
      </c>
      <c r="M81" s="34">
        <v>1396.88</v>
      </c>
    </row>
    <row r="82" spans="2:13" x14ac:dyDescent="0.25">
      <c r="B82" s="34" t="s">
        <v>49</v>
      </c>
      <c r="E82" s="34">
        <f>'[9]2014'!$M$123</f>
        <v>5189.1900000000005</v>
      </c>
      <c r="G82" s="34">
        <v>2513.9499999999998</v>
      </c>
      <c r="H82" s="50">
        <f t="shared" si="0"/>
        <v>1.064157998369101</v>
      </c>
      <c r="L82" s="34">
        <v>675</v>
      </c>
      <c r="M82" s="34">
        <v>621.88</v>
      </c>
    </row>
    <row r="83" spans="2:13" x14ac:dyDescent="0.25">
      <c r="B83" s="34" t="s">
        <v>157</v>
      </c>
      <c r="E83" s="34">
        <f>'[9]2014'!$S$123</f>
        <v>10600</v>
      </c>
      <c r="G83" s="34">
        <v>10000</v>
      </c>
      <c r="H83" s="50">
        <f t="shared" si="0"/>
        <v>6.0000000000000053E-2</v>
      </c>
      <c r="L83" s="34">
        <v>594</v>
      </c>
      <c r="M83" s="34">
        <v>191.25</v>
      </c>
    </row>
    <row r="84" spans="2:13" x14ac:dyDescent="0.25">
      <c r="B84" s="34" t="s">
        <v>51</v>
      </c>
      <c r="E84" s="40">
        <f>'[9]2014'!$U$123</f>
        <v>0</v>
      </c>
      <c r="G84" s="40">
        <v>0</v>
      </c>
      <c r="H84" s="50" t="e">
        <f t="shared" si="0"/>
        <v>#DIV/0!</v>
      </c>
      <c r="L84" s="34">
        <f>SUM(L80:L83)</f>
        <v>2334</v>
      </c>
      <c r="M84" s="34">
        <f>SUM(M80:M83)</f>
        <v>2976.01</v>
      </c>
    </row>
    <row r="85" spans="2:13" x14ac:dyDescent="0.25">
      <c r="B85" s="34" t="s">
        <v>158</v>
      </c>
      <c r="E85" s="40">
        <f>L84</f>
        <v>2334</v>
      </c>
      <c r="G85" s="40">
        <v>0</v>
      </c>
      <c r="H85" s="50" t="e">
        <f t="shared" si="0"/>
        <v>#DIV/0!</v>
      </c>
      <c r="M85" s="34">
        <f>+M84+L84</f>
        <v>5310.01</v>
      </c>
    </row>
    <row r="86" spans="2:13" x14ac:dyDescent="0.25">
      <c r="B86" s="34" t="s">
        <v>111</v>
      </c>
      <c r="E86" s="46">
        <f>M84</f>
        <v>2976.01</v>
      </c>
      <c r="G86" s="46">
        <v>3205.24</v>
      </c>
      <c r="H86" s="50">
        <f t="shared" si="0"/>
        <v>-7.1517265477780034E-2</v>
      </c>
    </row>
    <row r="87" spans="2:13" x14ac:dyDescent="0.25">
      <c r="E87" s="34">
        <f>SUM(E81:E86)</f>
        <v>30009.200000000004</v>
      </c>
      <c r="G87" s="34">
        <f>SUM(G81:G86)</f>
        <v>19295.190000000002</v>
      </c>
    </row>
    <row r="90" spans="2:13" x14ac:dyDescent="0.25">
      <c r="B90" s="44" t="s">
        <v>142</v>
      </c>
      <c r="E90" s="45">
        <f>B9</f>
        <v>2014</v>
      </c>
      <c r="G90" s="45">
        <f>G67</f>
        <v>2013</v>
      </c>
    </row>
    <row r="91" spans="2:13" x14ac:dyDescent="0.25">
      <c r="B91" s="34" t="s">
        <v>19</v>
      </c>
      <c r="E91" s="47">
        <f>H30</f>
        <v>0</v>
      </c>
      <c r="G91" s="48">
        <v>-1316.53</v>
      </c>
    </row>
    <row r="92" spans="2:13" x14ac:dyDescent="0.25">
      <c r="B92" s="34" t="s">
        <v>20</v>
      </c>
      <c r="E92" s="48">
        <f>H31</f>
        <v>-19.299999999999272</v>
      </c>
      <c r="G92" s="48">
        <v>3454.7</v>
      </c>
    </row>
    <row r="93" spans="2:13" x14ac:dyDescent="0.25">
      <c r="E93" s="47">
        <f>SUM(E91:E92)</f>
        <v>-19.299999999999272</v>
      </c>
      <c r="G93" s="47">
        <f>SUM(G91:G92)</f>
        <v>2138.17</v>
      </c>
    </row>
    <row r="95" spans="2:13" x14ac:dyDescent="0.25">
      <c r="B95" s="43" t="s">
        <v>59</v>
      </c>
    </row>
    <row r="97" spans="2:2" x14ac:dyDescent="0.25">
      <c r="B97" s="40" t="s">
        <v>55</v>
      </c>
    </row>
    <row r="98" spans="2:2" x14ac:dyDescent="0.25">
      <c r="B98" s="34" t="s">
        <v>164</v>
      </c>
    </row>
  </sheetData>
  <mergeCells count="2">
    <mergeCell ref="A7:G7"/>
    <mergeCell ref="A23:G23"/>
  </mergeCells>
  <pageMargins left="0.59055118110236227" right="0.23622047244094491" top="0.39370078740157483" bottom="0.98425196850393704" header="0" footer="0"/>
  <pageSetup paperSize="9" orientation="portrait" horizontalDpi="300" verticalDpi="300" r:id="rId1"/>
  <headerFooter alignWithMargins="0">
    <oddFooter>&amp;C&amp;"Calibri,Normal"Side &amp;P af &amp;N sider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2"/>
  <sheetViews>
    <sheetView topLeftCell="A7" workbookViewId="0">
      <selection activeCell="B98" sqref="B98:G102"/>
    </sheetView>
  </sheetViews>
  <sheetFormatPr defaultRowHeight="15" x14ac:dyDescent="0.25"/>
  <cols>
    <col min="1" max="1" width="17.28515625" style="34" customWidth="1"/>
    <col min="2" max="3" width="12.85546875" style="34" customWidth="1"/>
    <col min="4" max="4" width="6.85546875" style="34" customWidth="1"/>
    <col min="5" max="5" width="18.28515625" style="34" customWidth="1"/>
    <col min="6" max="6" width="11" style="34" customWidth="1"/>
    <col min="7" max="7" width="12.85546875" style="34" customWidth="1"/>
    <col min="8" max="8" width="13.140625" style="34" customWidth="1"/>
    <col min="9" max="9" width="11.140625" style="34" customWidth="1"/>
    <col min="10" max="10" width="10.140625" style="34" bestFit="1" customWidth="1"/>
    <col min="11" max="11" width="9.140625" style="34"/>
    <col min="12" max="12" width="12" style="34" customWidth="1"/>
    <col min="13" max="13" width="10.85546875" style="34" bestFit="1" customWidth="1"/>
    <col min="14" max="16384" width="9.140625" style="34"/>
  </cols>
  <sheetData>
    <row r="2" spans="1:16" x14ac:dyDescent="0.25">
      <c r="L2" s="34" t="s">
        <v>131</v>
      </c>
      <c r="M2" s="34" t="s">
        <v>132</v>
      </c>
      <c r="N2" s="34" t="s">
        <v>133</v>
      </c>
      <c r="O2" s="34" t="s">
        <v>152</v>
      </c>
    </row>
    <row r="3" spans="1:16" x14ac:dyDescent="0.25">
      <c r="B3" s="35" t="s">
        <v>0</v>
      </c>
      <c r="L3" s="34">
        <f>477*100</f>
        <v>47700</v>
      </c>
      <c r="M3" s="34">
        <f>-[11]MEDLEM!$H$522</f>
        <v>1200</v>
      </c>
      <c r="N3" s="34">
        <f>SUM(L3:M3)</f>
        <v>48900</v>
      </c>
    </row>
    <row r="4" spans="1:16" x14ac:dyDescent="0.25">
      <c r="B4" s="35"/>
      <c r="K4" s="41" t="s">
        <v>134</v>
      </c>
      <c r="L4" s="34">
        <f>-7*100</f>
        <v>-700</v>
      </c>
      <c r="N4" s="34">
        <f>SUM(L4:M4)</f>
        <v>-700</v>
      </c>
      <c r="P4" s="49" t="s">
        <v>136</v>
      </c>
    </row>
    <row r="5" spans="1:16" x14ac:dyDescent="0.25">
      <c r="B5" s="35"/>
      <c r="L5" s="34">
        <f>SUM(L3:L4)</f>
        <v>47000</v>
      </c>
      <c r="M5" s="34">
        <f>SUM(M3:M4)</f>
        <v>1200</v>
      </c>
      <c r="N5" s="34">
        <f>SUM(N3:N4)</f>
        <v>48200</v>
      </c>
      <c r="O5" s="34">
        <f>'[12]2015'!$H$123</f>
        <v>48200</v>
      </c>
      <c r="P5" s="49">
        <f>+N5-O5</f>
        <v>0</v>
      </c>
    </row>
    <row r="7" spans="1:16" x14ac:dyDescent="0.25">
      <c r="A7" s="58" t="s">
        <v>181</v>
      </c>
      <c r="B7" s="58"/>
      <c r="C7" s="58"/>
      <c r="D7" s="58"/>
      <c r="E7" s="58"/>
      <c r="F7" s="58"/>
      <c r="G7" s="58"/>
    </row>
    <row r="9" spans="1:16" x14ac:dyDescent="0.25">
      <c r="A9" s="35" t="s">
        <v>1</v>
      </c>
      <c r="B9" s="36">
        <v>2015</v>
      </c>
      <c r="C9" s="36">
        <v>2014</v>
      </c>
      <c r="E9" s="35" t="s">
        <v>5</v>
      </c>
      <c r="F9" s="36">
        <f>B9</f>
        <v>2015</v>
      </c>
      <c r="G9" s="36">
        <f>C9</f>
        <v>2014</v>
      </c>
    </row>
    <row r="10" spans="1:16" ht="8.25" customHeight="1" x14ac:dyDescent="0.25"/>
    <row r="11" spans="1:16" x14ac:dyDescent="0.25">
      <c r="A11" s="34" t="s">
        <v>2</v>
      </c>
      <c r="B11" s="34">
        <f>L5</f>
        <v>47000</v>
      </c>
      <c r="C11" s="34">
        <v>49300</v>
      </c>
      <c r="E11" s="34" t="s">
        <v>2</v>
      </c>
      <c r="F11" s="34">
        <f>'[12]2015'!$O$123</f>
        <v>7086</v>
      </c>
      <c r="G11" s="34">
        <v>2142.5</v>
      </c>
    </row>
    <row r="12" spans="1:16" x14ac:dyDescent="0.25">
      <c r="A12" s="34" t="s">
        <v>137</v>
      </c>
      <c r="B12" s="34">
        <f>M5</f>
        <v>1200</v>
      </c>
      <c r="C12" s="34">
        <v>1475</v>
      </c>
      <c r="E12" s="34" t="s">
        <v>6</v>
      </c>
      <c r="F12" s="34">
        <f>'[12]2015'!$K$123</f>
        <v>11994.74</v>
      </c>
      <c r="G12" s="34">
        <v>13772.5</v>
      </c>
      <c r="I12" s="37"/>
      <c r="J12" s="38"/>
      <c r="K12" s="38"/>
      <c r="L12" s="38"/>
      <c r="M12" s="38"/>
      <c r="N12" s="38"/>
    </row>
    <row r="13" spans="1:16" x14ac:dyDescent="0.25">
      <c r="A13" s="34" t="s">
        <v>3</v>
      </c>
      <c r="B13" s="34">
        <f>'[12]2015'!$J$123</f>
        <v>1711.35</v>
      </c>
      <c r="C13" s="34">
        <v>1586.89</v>
      </c>
      <c r="E13" s="34" t="s">
        <v>7</v>
      </c>
      <c r="F13" s="34">
        <f>E88</f>
        <v>29741.260000000002</v>
      </c>
      <c r="G13" s="34">
        <v>30009.200000000001</v>
      </c>
    </row>
    <row r="14" spans="1:16" x14ac:dyDescent="0.25">
      <c r="A14" s="34" t="s">
        <v>114</v>
      </c>
      <c r="B14" s="47">
        <f>G102</f>
        <v>2966.6499999999978</v>
      </c>
      <c r="C14" s="47">
        <v>-19.3</v>
      </c>
      <c r="E14" s="34" t="s">
        <v>8</v>
      </c>
      <c r="F14" s="34">
        <f>'[12]2015'!$P$123</f>
        <v>6589.25</v>
      </c>
      <c r="G14" s="34">
        <v>5685.95</v>
      </c>
    </row>
    <row r="15" spans="1:16" ht="15.75" thickBot="1" x14ac:dyDescent="0.3">
      <c r="B15" s="39">
        <f>SUM(B11:B14)</f>
        <v>52878</v>
      </c>
      <c r="C15" s="39">
        <f>SUM(C11:C14)</f>
        <v>52342.59</v>
      </c>
      <c r="E15" s="34" t="s">
        <v>11</v>
      </c>
      <c r="F15" s="34">
        <f>'[12]2015'!$Q$123</f>
        <v>0</v>
      </c>
      <c r="G15" s="34">
        <v>0</v>
      </c>
    </row>
    <row r="16" spans="1:16" ht="15.75" thickTop="1" x14ac:dyDescent="0.25">
      <c r="E16" s="34" t="s">
        <v>9</v>
      </c>
      <c r="F16" s="34">
        <f>'[12]2015'!$R$123</f>
        <v>1066.53</v>
      </c>
      <c r="G16" s="34">
        <v>300</v>
      </c>
    </row>
    <row r="17" spans="1:13" x14ac:dyDescent="0.25">
      <c r="E17" s="34" t="s">
        <v>4</v>
      </c>
      <c r="F17" s="34">
        <f>'[12]2015'!$N$123</f>
        <v>690</v>
      </c>
      <c r="G17" s="34">
        <v>0</v>
      </c>
      <c r="I17" s="34" t="s">
        <v>37</v>
      </c>
    </row>
    <row r="18" spans="1:13" x14ac:dyDescent="0.25">
      <c r="E18" s="34" t="s">
        <v>117</v>
      </c>
      <c r="F18" s="47">
        <f>I18</f>
        <v>-4289.7799999999988</v>
      </c>
      <c r="G18" s="47">
        <v>432.44</v>
      </c>
      <c r="I18" s="34">
        <f>+B15-SUM(F11:F17)-M22</f>
        <v>-4289.7799999999988</v>
      </c>
      <c r="K18" s="34" t="s">
        <v>72</v>
      </c>
      <c r="M18" s="34">
        <f>SUM(F11:F17)</f>
        <v>57167.78</v>
      </c>
    </row>
    <row r="19" spans="1:13" ht="15.75" thickBot="1" x14ac:dyDescent="0.3">
      <c r="F19" s="39">
        <f>SUM(F11:F18)</f>
        <v>52878</v>
      </c>
      <c r="G19" s="39">
        <f>SUM(G11:G18)</f>
        <v>52342.59</v>
      </c>
      <c r="K19" s="34" t="s">
        <v>71</v>
      </c>
      <c r="M19" s="34">
        <f>'[12]2015'!$K$125</f>
        <v>-57167.78</v>
      </c>
    </row>
    <row r="20" spans="1:13" ht="15.75" thickTop="1" x14ac:dyDescent="0.25">
      <c r="M20" s="34">
        <f>SUM(M18:M19)</f>
        <v>0</v>
      </c>
    </row>
    <row r="23" spans="1:13" x14ac:dyDescent="0.25">
      <c r="A23" s="58" t="s">
        <v>182</v>
      </c>
      <c r="B23" s="58"/>
      <c r="C23" s="58"/>
      <c r="D23" s="58"/>
      <c r="E23" s="58"/>
      <c r="F23" s="58"/>
      <c r="G23" s="58"/>
    </row>
    <row r="25" spans="1:13" x14ac:dyDescent="0.25">
      <c r="A25" s="35" t="s">
        <v>14</v>
      </c>
      <c r="B25" s="36">
        <f>B9</f>
        <v>2015</v>
      </c>
      <c r="C25" s="36">
        <f>C9</f>
        <v>2014</v>
      </c>
      <c r="E25" s="35" t="s">
        <v>15</v>
      </c>
      <c r="F25" s="36">
        <f>B9</f>
        <v>2015</v>
      </c>
      <c r="G25" s="36">
        <f>C9</f>
        <v>2014</v>
      </c>
    </row>
    <row r="26" spans="1:13" ht="8.25" customHeight="1" x14ac:dyDescent="0.25"/>
    <row r="27" spans="1:13" x14ac:dyDescent="0.25">
      <c r="A27" s="34" t="s">
        <v>18</v>
      </c>
      <c r="B27" s="34">
        <f>'[12]2015'!$G$123</f>
        <v>57291.999999999978</v>
      </c>
      <c r="C27" s="34">
        <v>163419.32999999999</v>
      </c>
      <c r="E27" s="34" t="s">
        <v>21</v>
      </c>
      <c r="F27" s="34">
        <f>+G30</f>
        <v>177305.68</v>
      </c>
      <c r="G27" s="34">
        <v>176873.24</v>
      </c>
    </row>
    <row r="28" spans="1:13" x14ac:dyDescent="0.25">
      <c r="A28" s="34" t="s">
        <v>19</v>
      </c>
      <c r="B28" s="34">
        <v>0</v>
      </c>
      <c r="C28" s="34">
        <v>0</v>
      </c>
      <c r="E28" s="34" t="s">
        <v>117</v>
      </c>
      <c r="F28" s="47">
        <f>+F18</f>
        <v>-4289.7799999999988</v>
      </c>
      <c r="G28" s="47">
        <v>432.44</v>
      </c>
    </row>
    <row r="29" spans="1:13" x14ac:dyDescent="0.25">
      <c r="A29" s="34" t="s">
        <v>20</v>
      </c>
      <c r="B29" s="34">
        <v>115723.9</v>
      </c>
      <c r="C29" s="34">
        <v>13886.35</v>
      </c>
      <c r="H29" s="34" t="s">
        <v>35</v>
      </c>
    </row>
    <row r="30" spans="1:13" ht="15.75" thickBot="1" x14ac:dyDescent="0.3">
      <c r="E30" s="34" t="s">
        <v>22</v>
      </c>
      <c r="F30" s="39">
        <f>SUM(F27:F28)</f>
        <v>173015.9</v>
      </c>
      <c r="G30" s="39">
        <f>SUM(G27:G28)</f>
        <v>177305.68</v>
      </c>
      <c r="H30" s="34">
        <f>B28-C28</f>
        <v>0</v>
      </c>
      <c r="M30" s="34">
        <f>+F30-B31</f>
        <v>0</v>
      </c>
    </row>
    <row r="31" spans="1:13" ht="16.5" thickTop="1" thickBot="1" x14ac:dyDescent="0.3">
      <c r="B31" s="39">
        <f>SUM(B27:B29)</f>
        <v>173015.89999999997</v>
      </c>
      <c r="C31" s="39">
        <f>SUM(C27:C29)</f>
        <v>177305.68</v>
      </c>
      <c r="F31" s="40"/>
      <c r="G31" s="40"/>
      <c r="H31" s="34">
        <f>B29-C29</f>
        <v>101837.54999999999</v>
      </c>
      <c r="I31" s="34" t="s">
        <v>36</v>
      </c>
    </row>
    <row r="32" spans="1:13" ht="15.75" thickTop="1" x14ac:dyDescent="0.25">
      <c r="F32" s="40"/>
      <c r="G32" s="40"/>
      <c r="H32" s="34">
        <f>SUM(H30:H31)</f>
        <v>101837.54999999999</v>
      </c>
      <c r="I32" s="34">
        <f>+B31-F30</f>
        <v>0</v>
      </c>
    </row>
    <row r="33" spans="1:9" x14ac:dyDescent="0.25">
      <c r="H33" s="34">
        <v>98870.9</v>
      </c>
      <c r="I33" s="34" t="s">
        <v>172</v>
      </c>
    </row>
    <row r="34" spans="1:9" x14ac:dyDescent="0.25">
      <c r="H34" s="34">
        <f>+H32-H33</f>
        <v>2966.6499999999942</v>
      </c>
    </row>
    <row r="35" spans="1:9" x14ac:dyDescent="0.25">
      <c r="A35" s="34" t="s">
        <v>183</v>
      </c>
    </row>
    <row r="39" spans="1:9" x14ac:dyDescent="0.25">
      <c r="G39" s="41" t="s">
        <v>30</v>
      </c>
    </row>
    <row r="42" spans="1:9" x14ac:dyDescent="0.25">
      <c r="A42" s="34" t="s">
        <v>184</v>
      </c>
    </row>
    <row r="44" spans="1:9" x14ac:dyDescent="0.25">
      <c r="A44" s="42" t="s">
        <v>23</v>
      </c>
    </row>
    <row r="45" spans="1:9" x14ac:dyDescent="0.25">
      <c r="A45" s="34" t="s">
        <v>103</v>
      </c>
    </row>
    <row r="46" spans="1:9" x14ac:dyDescent="0.25">
      <c r="A46" s="34" t="s">
        <v>27</v>
      </c>
    </row>
    <row r="50" spans="1:15" x14ac:dyDescent="0.25">
      <c r="B50" s="34" t="s">
        <v>102</v>
      </c>
      <c r="F50" s="41" t="s">
        <v>185</v>
      </c>
    </row>
    <row r="54" spans="1:15" x14ac:dyDescent="0.25">
      <c r="A54" s="35" t="s">
        <v>186</v>
      </c>
    </row>
    <row r="55" spans="1:15" x14ac:dyDescent="0.25">
      <c r="A55" s="35"/>
    </row>
    <row r="56" spans="1:15" x14ac:dyDescent="0.25">
      <c r="A56" s="35"/>
      <c r="B56" s="43" t="s">
        <v>57</v>
      </c>
    </row>
    <row r="57" spans="1:15" x14ac:dyDescent="0.25">
      <c r="A57" s="35"/>
    </row>
    <row r="58" spans="1:15" x14ac:dyDescent="0.25">
      <c r="A58" s="35"/>
      <c r="B58" s="44" t="s">
        <v>39</v>
      </c>
    </row>
    <row r="59" spans="1:15" x14ac:dyDescent="0.25">
      <c r="M59" s="34">
        <v>500</v>
      </c>
      <c r="N59" s="34" t="s">
        <v>125</v>
      </c>
    </row>
    <row r="60" spans="1:15" x14ac:dyDescent="0.25">
      <c r="B60" s="34" t="s">
        <v>177</v>
      </c>
      <c r="M60" s="34">
        <v>-32</v>
      </c>
      <c r="N60" s="34" t="s">
        <v>126</v>
      </c>
    </row>
    <row r="61" spans="1:15" x14ac:dyDescent="0.25">
      <c r="B61" s="34" t="s">
        <v>176</v>
      </c>
      <c r="M61" s="34">
        <v>9</v>
      </c>
      <c r="N61" s="34" t="s">
        <v>127</v>
      </c>
      <c r="O61" s="34">
        <f>SUM(M60:M61)</f>
        <v>-23</v>
      </c>
    </row>
    <row r="62" spans="1:15" x14ac:dyDescent="0.25">
      <c r="B62" s="34" t="s">
        <v>178</v>
      </c>
      <c r="M62" s="34">
        <f>SUM(M59:M61)</f>
        <v>477</v>
      </c>
      <c r="N62" s="34" t="s">
        <v>124</v>
      </c>
    </row>
    <row r="63" spans="1:15" x14ac:dyDescent="0.25">
      <c r="B63" s="34" t="s">
        <v>101</v>
      </c>
    </row>
    <row r="66" spans="2:13" x14ac:dyDescent="0.25">
      <c r="B66" s="44" t="s">
        <v>43</v>
      </c>
      <c r="E66" s="45">
        <f>B9</f>
        <v>2015</v>
      </c>
      <c r="G66" s="45">
        <f>C9</f>
        <v>2014</v>
      </c>
    </row>
    <row r="67" spans="2:13" x14ac:dyDescent="0.25">
      <c r="B67" s="34" t="s">
        <v>108</v>
      </c>
      <c r="E67" s="34">
        <v>953.12</v>
      </c>
      <c r="G67" s="34">
        <v>457.06</v>
      </c>
    </row>
    <row r="68" spans="2:13" x14ac:dyDescent="0.25">
      <c r="B68" s="34" t="s">
        <v>19</v>
      </c>
      <c r="E68" s="40">
        <v>0</v>
      </c>
      <c r="G68" s="40">
        <v>2203.4</v>
      </c>
    </row>
    <row r="69" spans="2:13" x14ac:dyDescent="0.25">
      <c r="B69" s="34" t="s">
        <v>20</v>
      </c>
      <c r="E69" s="46">
        <f>892.04-133.81</f>
        <v>758.23</v>
      </c>
      <c r="G69" s="46">
        <v>415.04</v>
      </c>
    </row>
    <row r="70" spans="2:13" x14ac:dyDescent="0.25">
      <c r="E70" s="34">
        <f>SUM(E67:E69)</f>
        <v>1711.35</v>
      </c>
      <c r="G70" s="34">
        <f>SUM(G67:G69)</f>
        <v>3075.5</v>
      </c>
      <c r="I70" s="34">
        <f>B13</f>
        <v>1711.35</v>
      </c>
      <c r="J70" s="34">
        <f>E70</f>
        <v>1711.35</v>
      </c>
      <c r="K70" s="34">
        <f>+I70-J70</f>
        <v>0</v>
      </c>
    </row>
    <row r="72" spans="2:13" x14ac:dyDescent="0.25">
      <c r="B72" s="43" t="s">
        <v>58</v>
      </c>
    </row>
    <row r="74" spans="2:13" x14ac:dyDescent="0.25">
      <c r="B74" s="44" t="s">
        <v>39</v>
      </c>
      <c r="H74" s="34">
        <v>1750</v>
      </c>
    </row>
    <row r="75" spans="2:13" x14ac:dyDescent="0.25">
      <c r="H75" s="34">
        <v>381</v>
      </c>
    </row>
    <row r="76" spans="2:13" x14ac:dyDescent="0.25">
      <c r="B76" s="34" t="s">
        <v>175</v>
      </c>
      <c r="H76" s="34">
        <v>4955</v>
      </c>
    </row>
    <row r="77" spans="2:13" x14ac:dyDescent="0.25">
      <c r="B77" s="34" t="s">
        <v>174</v>
      </c>
      <c r="H77" s="34">
        <f>SUM(H74:H76)</f>
        <v>7086</v>
      </c>
    </row>
    <row r="79" spans="2:13" x14ac:dyDescent="0.25">
      <c r="M79" s="34" t="s">
        <v>168</v>
      </c>
    </row>
    <row r="80" spans="2:13" x14ac:dyDescent="0.25">
      <c r="B80" s="44" t="s">
        <v>47</v>
      </c>
      <c r="E80" s="45">
        <f>B9</f>
        <v>2015</v>
      </c>
      <c r="G80" s="45">
        <f>G66</f>
        <v>2014</v>
      </c>
      <c r="H80" s="41" t="s">
        <v>150</v>
      </c>
      <c r="L80" s="34" t="s">
        <v>179</v>
      </c>
      <c r="M80" s="34">
        <v>200</v>
      </c>
    </row>
    <row r="81" spans="2:13" x14ac:dyDescent="0.25">
      <c r="B81" s="34" t="s">
        <v>48</v>
      </c>
      <c r="E81" s="34">
        <f>'[12]2015'!$L$123</f>
        <v>6741</v>
      </c>
      <c r="G81" s="34">
        <v>8910</v>
      </c>
      <c r="H81" s="50">
        <f t="shared" ref="H81:H87" si="0">E81/G81-1</f>
        <v>-0.24343434343434345</v>
      </c>
      <c r="L81" s="34" t="s">
        <v>180</v>
      </c>
      <c r="M81" s="34">
        <v>2995</v>
      </c>
    </row>
    <row r="82" spans="2:13" x14ac:dyDescent="0.25">
      <c r="B82" s="34" t="s">
        <v>49</v>
      </c>
      <c r="E82" s="34">
        <f>'[12]2015'!$M$123</f>
        <v>885.51</v>
      </c>
      <c r="G82" s="34">
        <v>5189.1899999999996</v>
      </c>
      <c r="H82" s="50">
        <f t="shared" si="0"/>
        <v>-0.82935487041330147</v>
      </c>
      <c r="L82" s="34" t="s">
        <v>179</v>
      </c>
      <c r="M82" s="34">
        <v>2123.75</v>
      </c>
    </row>
    <row r="83" spans="2:13" x14ac:dyDescent="0.25">
      <c r="B83" s="34" t="s">
        <v>157</v>
      </c>
      <c r="E83" s="34">
        <f>'[12]2015'!$S$123</f>
        <v>10775</v>
      </c>
      <c r="G83" s="34">
        <v>10600</v>
      </c>
      <c r="H83" s="50">
        <f t="shared" si="0"/>
        <v>1.6509433962264231E-2</v>
      </c>
    </row>
    <row r="84" spans="2:13" x14ac:dyDescent="0.25">
      <c r="B84" s="34" t="s">
        <v>51</v>
      </c>
      <c r="E84" s="40">
        <f>'[12]2015'!$U$123</f>
        <v>0</v>
      </c>
      <c r="G84" s="40">
        <v>1E-4</v>
      </c>
      <c r="H84" s="50">
        <f t="shared" si="0"/>
        <v>-1</v>
      </c>
      <c r="M84" s="34">
        <f>SUM(M80:M83)</f>
        <v>5318.75</v>
      </c>
    </row>
    <row r="85" spans="2:13" x14ac:dyDescent="0.25">
      <c r="B85" s="34" t="s">
        <v>158</v>
      </c>
      <c r="E85" s="40">
        <v>0</v>
      </c>
      <c r="G85" s="40">
        <v>2334</v>
      </c>
      <c r="H85" s="50">
        <f t="shared" si="0"/>
        <v>-1</v>
      </c>
    </row>
    <row r="86" spans="2:13" x14ac:dyDescent="0.25">
      <c r="B86" s="34" t="s">
        <v>167</v>
      </c>
      <c r="E86" s="40">
        <f>'[12]2015'!$V$5+'[12]2015'!$V$25</f>
        <v>6021</v>
      </c>
      <c r="G86" s="40">
        <v>0</v>
      </c>
      <c r="H86" s="50" t="e">
        <f t="shared" si="0"/>
        <v>#DIV/0!</v>
      </c>
      <c r="M86" s="34">
        <f>+M84+L84</f>
        <v>5318.75</v>
      </c>
    </row>
    <row r="87" spans="2:13" x14ac:dyDescent="0.25">
      <c r="B87" s="34" t="s">
        <v>111</v>
      </c>
      <c r="E87" s="46">
        <f>M84</f>
        <v>5318.75</v>
      </c>
      <c r="G87" s="46">
        <v>2976.01</v>
      </c>
      <c r="H87" s="50">
        <f t="shared" si="0"/>
        <v>0.78720837631593965</v>
      </c>
    </row>
    <row r="88" spans="2:13" x14ac:dyDescent="0.25">
      <c r="E88" s="34">
        <f>SUM(E81:E87)</f>
        <v>29741.260000000002</v>
      </c>
      <c r="G88" s="34">
        <f>SUM(G81:G87)</f>
        <v>30009.200100000002</v>
      </c>
    </row>
    <row r="91" spans="2:13" x14ac:dyDescent="0.25">
      <c r="B91" s="44" t="s">
        <v>142</v>
      </c>
      <c r="E91" s="45">
        <f>B9</f>
        <v>2015</v>
      </c>
      <c r="G91" s="45">
        <f>G66</f>
        <v>2014</v>
      </c>
    </row>
    <row r="92" spans="2:13" x14ac:dyDescent="0.25">
      <c r="B92" s="34" t="s">
        <v>19</v>
      </c>
      <c r="E92" s="47">
        <f>H30</f>
        <v>0</v>
      </c>
      <c r="G92" s="51">
        <v>-1316.53</v>
      </c>
    </row>
    <row r="93" spans="2:13" x14ac:dyDescent="0.25">
      <c r="B93" s="34" t="s">
        <v>20</v>
      </c>
      <c r="E93" s="48">
        <f>H31</f>
        <v>101837.54999999999</v>
      </c>
      <c r="G93" s="48">
        <v>3454.7</v>
      </c>
    </row>
    <row r="94" spans="2:13" x14ac:dyDescent="0.25">
      <c r="E94" s="47">
        <f>SUM(E92:E93)</f>
        <v>101837.54999999999</v>
      </c>
      <c r="G94" s="47">
        <f>SUM(G92:G93)</f>
        <v>2138.17</v>
      </c>
    </row>
    <row r="96" spans="2:13" x14ac:dyDescent="0.25">
      <c r="B96" s="43" t="s">
        <v>59</v>
      </c>
    </row>
    <row r="98" spans="2:9" x14ac:dyDescent="0.25">
      <c r="B98" s="40" t="s">
        <v>55</v>
      </c>
      <c r="E98" s="45">
        <v>2015</v>
      </c>
      <c r="F98" s="45">
        <v>2014</v>
      </c>
      <c r="G98" s="45" t="s">
        <v>173</v>
      </c>
      <c r="H98" s="52"/>
      <c r="I98" s="52"/>
    </row>
    <row r="99" spans="2:9" x14ac:dyDescent="0.25">
      <c r="B99" s="34" t="s">
        <v>169</v>
      </c>
      <c r="E99" s="51">
        <v>48707.6</v>
      </c>
      <c r="F99" s="51">
        <v>49601.8</v>
      </c>
      <c r="G99" s="51">
        <f>-F99+E99</f>
        <v>-894.20000000000437</v>
      </c>
      <c r="H99" s="51"/>
      <c r="I99" s="51"/>
    </row>
    <row r="100" spans="2:9" x14ac:dyDescent="0.25">
      <c r="B100" s="34" t="s">
        <v>171</v>
      </c>
      <c r="E100" s="51">
        <v>52386.9</v>
      </c>
      <c r="F100" s="51">
        <v>49269.1</v>
      </c>
      <c r="G100" s="51">
        <f t="shared" ref="G100:G101" si="1">-F100+E100</f>
        <v>3117.8000000000029</v>
      </c>
      <c r="H100" s="51"/>
      <c r="I100" s="51"/>
    </row>
    <row r="101" spans="2:9" x14ac:dyDescent="0.25">
      <c r="B101" s="34" t="s">
        <v>170</v>
      </c>
      <c r="E101" s="51">
        <v>14629.4</v>
      </c>
      <c r="F101" s="51">
        <v>13886.35</v>
      </c>
      <c r="G101" s="51">
        <f t="shared" si="1"/>
        <v>743.04999999999927</v>
      </c>
      <c r="H101" s="51"/>
      <c r="I101" s="51"/>
    </row>
    <row r="102" spans="2:9" x14ac:dyDescent="0.25">
      <c r="E102" s="53">
        <f>SUM(E99:E101)</f>
        <v>115723.9</v>
      </c>
      <c r="F102" s="53">
        <f>SUM(F99:F101)</f>
        <v>112757.25</v>
      </c>
      <c r="G102" s="53">
        <f>SUM(G99:G101)</f>
        <v>2966.6499999999978</v>
      </c>
      <c r="H102" s="51"/>
      <c r="I102" s="51"/>
    </row>
  </sheetData>
  <mergeCells count="2">
    <mergeCell ref="A7:G7"/>
    <mergeCell ref="A23:G23"/>
  </mergeCells>
  <pageMargins left="0.59055118110236227" right="0.23622047244094491" top="0.39370078740157483" bottom="0.98425196850393704" header="0" footer="0"/>
  <pageSetup paperSize="9" orientation="portrait" horizontalDpi="4294967293" verticalDpi="300" r:id="rId1"/>
  <headerFooter alignWithMargins="0">
    <oddFooter>&amp;C&amp;"Calibri,Normal"Side &amp;P af &amp;N sider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Navngivne områder</vt:lpstr>
      </vt:variant>
      <vt:variant>
        <vt:i4>10</vt:i4>
      </vt:variant>
    </vt:vector>
  </HeadingPairs>
  <TitlesOfParts>
    <vt:vector size="20" baseType="lpstr"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'2007'!Udskriftsområde</vt:lpstr>
      <vt:lpstr>'2008'!Udskriftsområde</vt:lpstr>
      <vt:lpstr>'2009'!Udskriftsområde</vt:lpstr>
      <vt:lpstr>'2010'!Udskriftsområde</vt:lpstr>
      <vt:lpstr>'2011'!Udskriftsområde</vt:lpstr>
      <vt:lpstr>'2012'!Udskriftsområde</vt:lpstr>
      <vt:lpstr>'2013'!Udskriftsområde</vt:lpstr>
      <vt:lpstr>'2014'!Udskriftsområde</vt:lpstr>
      <vt:lpstr>'2015'!Udskriftsområde</vt:lpstr>
      <vt:lpstr>'2016'!Udskriftsområde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</dc:creator>
  <cp:lastModifiedBy>Stengaarden</cp:lastModifiedBy>
  <cp:lastPrinted>2017-01-16T16:18:53Z</cp:lastPrinted>
  <dcterms:created xsi:type="dcterms:W3CDTF">2007-01-27T10:17:51Z</dcterms:created>
  <dcterms:modified xsi:type="dcterms:W3CDTF">2017-01-16T16:27:29Z</dcterms:modified>
</cp:coreProperties>
</file>